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PJamLc3UEg6uF4+PaF0OvuZJtJvRQpysmaIe2GJqkRkyk0b/Ev6458M7wsuCjRVzq85fXwcuo2UdQR1FhB18kw==" workbookSaltValue="SnsnYomJSaydyWsqhERgHw==" workbookSpinCount="100000" lockStructure="1"/>
  <bookViews>
    <workbookView xWindow="57480" yWindow="-120" windowWidth="24240" windowHeight="13140" tabRatio="789" activeTab="5"/>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E5" i="5" s="1"/>
  <c r="P3" i="4"/>
  <c r="C4" i="5"/>
  <c r="F69" i="6" s="1"/>
  <c r="D4" i="5"/>
  <c r="E4" i="5"/>
  <c r="E40" i="5"/>
  <c r="E41" i="5"/>
  <c r="E42" i="5"/>
  <c r="E43" i="5"/>
  <c r="E44" i="5"/>
  <c r="E45" i="5"/>
  <c r="X45" i="5" s="1"/>
  <c r="E46" i="5"/>
  <c r="E47" i="5"/>
  <c r="E48" i="5"/>
  <c r="E49" i="5"/>
  <c r="E50" i="5"/>
  <c r="E51" i="5"/>
  <c r="E52" i="5"/>
  <c r="E53" i="5"/>
  <c r="E54" i="5"/>
  <c r="E55" i="5"/>
  <c r="E56" i="5"/>
  <c r="E57" i="5"/>
  <c r="E58" i="5"/>
  <c r="E59" i="5"/>
  <c r="E60" i="5"/>
  <c r="E61" i="5"/>
  <c r="X61" i="5" s="1"/>
  <c r="E62" i="5"/>
  <c r="E63" i="5"/>
  <c r="E64" i="5"/>
  <c r="E65" i="5"/>
  <c r="E66" i="5"/>
  <c r="E67" i="5"/>
  <c r="E68" i="5"/>
  <c r="E69" i="5"/>
  <c r="X69" i="5" s="1"/>
  <c r="E70" i="5"/>
  <c r="E71" i="5"/>
  <c r="E72" i="5"/>
  <c r="E73" i="5"/>
  <c r="E74" i="5"/>
  <c r="E75" i="5"/>
  <c r="E76" i="5"/>
  <c r="E77" i="5"/>
  <c r="X77" i="5" s="1"/>
  <c r="E78" i="5"/>
  <c r="E79" i="5"/>
  <c r="E80" i="5"/>
  <c r="E81" i="5"/>
  <c r="E82" i="5"/>
  <c r="E83" i="5"/>
  <c r="E84" i="5"/>
  <c r="E85" i="5"/>
  <c r="X85" i="5" s="1"/>
  <c r="E86" i="5"/>
  <c r="E87" i="5"/>
  <c r="E88" i="5"/>
  <c r="E89" i="5"/>
  <c r="E90" i="5"/>
  <c r="E91" i="5"/>
  <c r="E92" i="5"/>
  <c r="E93" i="5"/>
  <c r="X93" i="5" s="1"/>
  <c r="E94" i="5"/>
  <c r="E95" i="5"/>
  <c r="E96" i="5"/>
  <c r="E97" i="5"/>
  <c r="E98" i="5"/>
  <c r="E99" i="5"/>
  <c r="E100" i="5"/>
  <c r="E101" i="5"/>
  <c r="X101" i="5" s="1"/>
  <c r="E102" i="5"/>
  <c r="E103" i="5"/>
  <c r="E104" i="5"/>
  <c r="E105" i="5"/>
  <c r="E106" i="5"/>
  <c r="E107" i="5"/>
  <c r="E108" i="5"/>
  <c r="E109" i="5"/>
  <c r="X109" i="5" s="1"/>
  <c r="E110" i="5"/>
  <c r="E111" i="5"/>
  <c r="E112" i="5"/>
  <c r="E113" i="5"/>
  <c r="E114" i="5"/>
  <c r="E115" i="5"/>
  <c r="E116" i="5"/>
  <c r="E117" i="5"/>
  <c r="X117" i="5" s="1"/>
  <c r="E118" i="5"/>
  <c r="E119" i="5"/>
  <c r="E120" i="5"/>
  <c r="E121" i="5"/>
  <c r="E122" i="5"/>
  <c r="E123" i="5"/>
  <c r="E124" i="5"/>
  <c r="E125" i="5"/>
  <c r="X125" i="5" s="1"/>
  <c r="E126" i="5"/>
  <c r="E127" i="5"/>
  <c r="E128" i="5"/>
  <c r="E129" i="5"/>
  <c r="E130" i="5"/>
  <c r="E131" i="5"/>
  <c r="E132" i="5"/>
  <c r="E133" i="5"/>
  <c r="X133" i="5" s="1"/>
  <c r="E134" i="5"/>
  <c r="E135" i="5"/>
  <c r="E136" i="5"/>
  <c r="E137" i="5"/>
  <c r="E138" i="5"/>
  <c r="E139" i="5"/>
  <c r="E140" i="5"/>
  <c r="E141" i="5"/>
  <c r="X141" i="5" s="1"/>
  <c r="E142" i="5"/>
  <c r="E143" i="5"/>
  <c r="E144" i="5"/>
  <c r="E145" i="5"/>
  <c r="E146" i="5"/>
  <c r="E147" i="5"/>
  <c r="E148" i="5"/>
  <c r="E149" i="5"/>
  <c r="X149" i="5" s="1"/>
  <c r="E150" i="5"/>
  <c r="E151" i="5"/>
  <c r="E152" i="5"/>
  <c r="E153" i="5"/>
  <c r="E154" i="5"/>
  <c r="E155" i="5"/>
  <c r="E156" i="5"/>
  <c r="E157" i="5"/>
  <c r="X157" i="5" s="1"/>
  <c r="E158" i="5"/>
  <c r="E159" i="5"/>
  <c r="E160" i="5"/>
  <c r="E161" i="5"/>
  <c r="E162" i="5"/>
  <c r="E163" i="5"/>
  <c r="E164" i="5"/>
  <c r="E165" i="5"/>
  <c r="E166" i="5"/>
  <c r="E167" i="5"/>
  <c r="E168" i="5"/>
  <c r="E169" i="5"/>
  <c r="E170" i="5"/>
  <c r="E171" i="5"/>
  <c r="E172" i="5"/>
  <c r="E173" i="5"/>
  <c r="X173" i="5" s="1"/>
  <c r="E174" i="5"/>
  <c r="E175" i="5"/>
  <c r="E176" i="5"/>
  <c r="E177" i="5"/>
  <c r="E178" i="5"/>
  <c r="E179" i="5"/>
  <c r="E180" i="5"/>
  <c r="E181" i="5"/>
  <c r="X181" i="5" s="1"/>
  <c r="E182" i="5"/>
  <c r="E183" i="5"/>
  <c r="E184" i="5"/>
  <c r="E185" i="5"/>
  <c r="E186" i="5"/>
  <c r="E187" i="5"/>
  <c r="E188" i="5"/>
  <c r="E189" i="5"/>
  <c r="E190" i="5"/>
  <c r="E191" i="5"/>
  <c r="E192" i="5"/>
  <c r="E193" i="5"/>
  <c r="E194" i="5"/>
  <c r="E195" i="5"/>
  <c r="E196" i="5"/>
  <c r="E197" i="5"/>
  <c r="X197" i="5" s="1"/>
  <c r="E198" i="5"/>
  <c r="E199" i="5"/>
  <c r="E200" i="5"/>
  <c r="E201" i="5"/>
  <c r="E202" i="5"/>
  <c r="E203" i="5"/>
  <c r="E204" i="5"/>
  <c r="E205" i="5"/>
  <c r="X205" i="5" s="1"/>
  <c r="E206" i="5"/>
  <c r="E207" i="5"/>
  <c r="E208" i="5"/>
  <c r="E209" i="5"/>
  <c r="E210" i="5"/>
  <c r="E211" i="5"/>
  <c r="E212" i="5"/>
  <c r="E213" i="5"/>
  <c r="X213" i="5" s="1"/>
  <c r="E214" i="5"/>
  <c r="E215" i="5"/>
  <c r="E216" i="5"/>
  <c r="E217" i="5"/>
  <c r="E218" i="5"/>
  <c r="E219" i="5"/>
  <c r="E220" i="5"/>
  <c r="E221" i="5"/>
  <c r="X221" i="5" s="1"/>
  <c r="E222" i="5"/>
  <c r="E223" i="5"/>
  <c r="E224" i="5"/>
  <c r="E225" i="5"/>
  <c r="E226" i="5"/>
  <c r="E227" i="5"/>
  <c r="E228" i="5"/>
  <c r="E229" i="5"/>
  <c r="X229" i="5" s="1"/>
  <c r="E230" i="5"/>
  <c r="E231" i="5"/>
  <c r="E232" i="5"/>
  <c r="E233" i="5"/>
  <c r="E234" i="5"/>
  <c r="E235" i="5"/>
  <c r="E236" i="5"/>
  <c r="E237" i="5"/>
  <c r="E238" i="5"/>
  <c r="E239" i="5"/>
  <c r="E240" i="5"/>
  <c r="E241" i="5"/>
  <c r="E242" i="5"/>
  <c r="E243" i="5"/>
  <c r="E244" i="5"/>
  <c r="E245" i="5"/>
  <c r="X245" i="5" s="1"/>
  <c r="E246" i="5"/>
  <c r="E247" i="5"/>
  <c r="E248" i="5"/>
  <c r="E249" i="5"/>
  <c r="E250" i="5"/>
  <c r="E251" i="5"/>
  <c r="E252" i="5"/>
  <c r="E253" i="5"/>
  <c r="X253" i="5" s="1"/>
  <c r="E254" i="5"/>
  <c r="E255" i="5"/>
  <c r="E256" i="5"/>
  <c r="E257" i="5"/>
  <c r="E258" i="5"/>
  <c r="E259" i="5"/>
  <c r="E260" i="5"/>
  <c r="E261" i="5"/>
  <c r="X261" i="5" s="1"/>
  <c r="E262" i="5"/>
  <c r="E263" i="5"/>
  <c r="E264" i="5"/>
  <c r="E265" i="5"/>
  <c r="E266" i="5"/>
  <c r="E267" i="5"/>
  <c r="E268" i="5"/>
  <c r="E269" i="5"/>
  <c r="X269" i="5" s="1"/>
  <c r="E270" i="5"/>
  <c r="E271" i="5"/>
  <c r="E272" i="5"/>
  <c r="E273" i="5"/>
  <c r="E274" i="5"/>
  <c r="E275" i="5"/>
  <c r="E276" i="5"/>
  <c r="E277" i="5"/>
  <c r="X277" i="5" s="1"/>
  <c r="E278" i="5"/>
  <c r="E279" i="5"/>
  <c r="E280" i="5"/>
  <c r="E281" i="5"/>
  <c r="E282" i="5"/>
  <c r="E283" i="5"/>
  <c r="E284" i="5"/>
  <c r="E285" i="5"/>
  <c r="X285" i="5" s="1"/>
  <c r="E286" i="5"/>
  <c r="E287" i="5"/>
  <c r="E288" i="5"/>
  <c r="E289" i="5"/>
  <c r="E290" i="5"/>
  <c r="E291" i="5"/>
  <c r="E292" i="5"/>
  <c r="E293" i="5"/>
  <c r="X293" i="5" s="1"/>
  <c r="E294" i="5"/>
  <c r="E295" i="5"/>
  <c r="E296" i="5"/>
  <c r="E297" i="5"/>
  <c r="E298" i="5"/>
  <c r="E299" i="5"/>
  <c r="E300" i="5"/>
  <c r="E301" i="5"/>
  <c r="E302" i="5"/>
  <c r="E303" i="5"/>
  <c r="E304" i="5"/>
  <c r="E305" i="5"/>
  <c r="E306" i="5"/>
  <c r="E307" i="5"/>
  <c r="E308" i="5"/>
  <c r="E309" i="5"/>
  <c r="X309" i="5" s="1"/>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X341" i="5" s="1"/>
  <c r="E342" i="5"/>
  <c r="E343" i="5"/>
  <c r="E344" i="5"/>
  <c r="E345" i="5"/>
  <c r="E346" i="5"/>
  <c r="E347" i="5"/>
  <c r="E348" i="5"/>
  <c r="E349" i="5"/>
  <c r="X349" i="5" s="1"/>
  <c r="E350" i="5"/>
  <c r="E351" i="5"/>
  <c r="E352" i="5"/>
  <c r="E353" i="5"/>
  <c r="E354" i="5"/>
  <c r="E355" i="5"/>
  <c r="E356" i="5"/>
  <c r="E357" i="5"/>
  <c r="E358" i="5"/>
  <c r="E359" i="5"/>
  <c r="E360" i="5"/>
  <c r="E361" i="5"/>
  <c r="E362" i="5"/>
  <c r="E363" i="5"/>
  <c r="E364" i="5"/>
  <c r="E365" i="5"/>
  <c r="E366" i="5"/>
  <c r="E367" i="5"/>
  <c r="E368" i="5"/>
  <c r="E369" i="5"/>
  <c r="E370" i="5"/>
  <c r="E371" i="5"/>
  <c r="E372" i="5"/>
  <c r="E373" i="5"/>
  <c r="X373" i="5" s="1"/>
  <c r="E374" i="5"/>
  <c r="E375" i="5"/>
  <c r="E376" i="5"/>
  <c r="E377" i="5"/>
  <c r="E378" i="5"/>
  <c r="E379" i="5"/>
  <c r="E380" i="5"/>
  <c r="E381" i="5"/>
  <c r="X381" i="5" s="1"/>
  <c r="E382" i="5"/>
  <c r="E383" i="5"/>
  <c r="E384" i="5"/>
  <c r="E385" i="5"/>
  <c r="E386" i="5"/>
  <c r="E387" i="5"/>
  <c r="E388" i="5"/>
  <c r="E389" i="5"/>
  <c r="X389" i="5" s="1"/>
  <c r="E390" i="5"/>
  <c r="E391" i="5"/>
  <c r="E392" i="5"/>
  <c r="E393" i="5"/>
  <c r="E394" i="5"/>
  <c r="E395" i="5"/>
  <c r="E396" i="5"/>
  <c r="E397" i="5"/>
  <c r="X397" i="5" s="1"/>
  <c r="E398" i="5"/>
  <c r="E399" i="5"/>
  <c r="E400" i="5"/>
  <c r="E401" i="5"/>
  <c r="E402" i="5"/>
  <c r="E403" i="5"/>
  <c r="E404" i="5"/>
  <c r="E405" i="5"/>
  <c r="X405" i="5" s="1"/>
  <c r="E406" i="5"/>
  <c r="E407" i="5"/>
  <c r="E408" i="5"/>
  <c r="E409" i="5"/>
  <c r="E410" i="5"/>
  <c r="E411" i="5"/>
  <c r="E412" i="5"/>
  <c r="E413" i="5"/>
  <c r="E414" i="5"/>
  <c r="E415" i="5"/>
  <c r="E416" i="5"/>
  <c r="E417" i="5"/>
  <c r="E418" i="5"/>
  <c r="E419" i="5"/>
  <c r="E420" i="5"/>
  <c r="E421" i="5"/>
  <c r="X421" i="5" s="1"/>
  <c r="E422" i="5"/>
  <c r="E423" i="5"/>
  <c r="E424" i="5"/>
  <c r="E425" i="5"/>
  <c r="E426" i="5"/>
  <c r="E427" i="5"/>
  <c r="E428" i="5"/>
  <c r="E429" i="5"/>
  <c r="X429" i="5" s="1"/>
  <c r="E430" i="5"/>
  <c r="E431" i="5"/>
  <c r="E432" i="5"/>
  <c r="E433" i="5"/>
  <c r="E434" i="5"/>
  <c r="E435" i="5"/>
  <c r="E436" i="5"/>
  <c r="E437" i="5"/>
  <c r="X437" i="5" s="1"/>
  <c r="E438" i="5"/>
  <c r="E439" i="5"/>
  <c r="E440" i="5"/>
  <c r="E441" i="5"/>
  <c r="E442" i="5"/>
  <c r="E443" i="5"/>
  <c r="E444" i="5"/>
  <c r="E445" i="5"/>
  <c r="X445" i="5" s="1"/>
  <c r="E446" i="5"/>
  <c r="E447" i="5"/>
  <c r="E448" i="5"/>
  <c r="E449" i="5"/>
  <c r="E450" i="5"/>
  <c r="E451" i="5"/>
  <c r="E452" i="5"/>
  <c r="E453" i="5"/>
  <c r="X453" i="5" s="1"/>
  <c r="E454" i="5"/>
  <c r="E455" i="5"/>
  <c r="E456" i="5"/>
  <c r="E457" i="5"/>
  <c r="E458" i="5"/>
  <c r="E459" i="5"/>
  <c r="E460" i="5"/>
  <c r="E461" i="5"/>
  <c r="X461" i="5" s="1"/>
  <c r="E462" i="5"/>
  <c r="E463" i="5"/>
  <c r="E464" i="5"/>
  <c r="E465" i="5"/>
  <c r="E466" i="5"/>
  <c r="E467" i="5"/>
  <c r="E468" i="5"/>
  <c r="E469" i="5"/>
  <c r="X469" i="5" s="1"/>
  <c r="E470" i="5"/>
  <c r="E471" i="5"/>
  <c r="E472" i="5"/>
  <c r="E473" i="5"/>
  <c r="E474" i="5"/>
  <c r="E475" i="5"/>
  <c r="E476" i="5"/>
  <c r="E477" i="5"/>
  <c r="E478" i="5"/>
  <c r="E479" i="5"/>
  <c r="E480" i="5"/>
  <c r="E481" i="5"/>
  <c r="E482" i="5"/>
  <c r="E483" i="5"/>
  <c r="E484" i="5"/>
  <c r="E485" i="5"/>
  <c r="X485" i="5" s="1"/>
  <c r="E486" i="5"/>
  <c r="E487" i="5"/>
  <c r="E488" i="5"/>
  <c r="E489" i="5"/>
  <c r="E490" i="5"/>
  <c r="E491" i="5"/>
  <c r="E492" i="5"/>
  <c r="E493" i="5"/>
  <c r="E494" i="5"/>
  <c r="E495" i="5"/>
  <c r="E496" i="5"/>
  <c r="E497" i="5"/>
  <c r="E498" i="5"/>
  <c r="E499" i="5"/>
  <c r="E500" i="5"/>
  <c r="E501" i="5"/>
  <c r="X501" i="5" s="1"/>
  <c r="E502" i="5"/>
  <c r="E503" i="5"/>
  <c r="E504" i="5"/>
  <c r="E505" i="5"/>
  <c r="E506" i="5"/>
  <c r="E507" i="5"/>
  <c r="E508" i="5"/>
  <c r="E509" i="5"/>
  <c r="E510" i="5"/>
  <c r="E511" i="5"/>
  <c r="E512" i="5"/>
  <c r="E513" i="5"/>
  <c r="E514" i="5"/>
  <c r="E515" i="5"/>
  <c r="E516" i="5"/>
  <c r="E517" i="5"/>
  <c r="E518" i="5"/>
  <c r="E519" i="5"/>
  <c r="E520" i="5"/>
  <c r="E521" i="5"/>
  <c r="E522" i="5"/>
  <c r="E523" i="5"/>
  <c r="E524" i="5"/>
  <c r="E525" i="5"/>
  <c r="X525" i="5" s="1"/>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X557" i="5" s="1"/>
  <c r="E558" i="5"/>
  <c r="E559" i="5"/>
  <c r="E560" i="5"/>
  <c r="E561" i="5"/>
  <c r="E562" i="5"/>
  <c r="E563" i="5"/>
  <c r="E564" i="5"/>
  <c r="E565" i="5"/>
  <c r="X565" i="5" s="1"/>
  <c r="E566" i="5"/>
  <c r="E567" i="5"/>
  <c r="E568" i="5"/>
  <c r="E569" i="5"/>
  <c r="E570" i="5"/>
  <c r="E571" i="5"/>
  <c r="E572" i="5"/>
  <c r="E573" i="5"/>
  <c r="X573" i="5" s="1"/>
  <c r="E574" i="5"/>
  <c r="E575" i="5"/>
  <c r="E576" i="5"/>
  <c r="E577" i="5"/>
  <c r="E578" i="5"/>
  <c r="E579" i="5"/>
  <c r="E580" i="5"/>
  <c r="E581" i="5"/>
  <c r="X581" i="5" s="1"/>
  <c r="E582" i="5"/>
  <c r="E583" i="5"/>
  <c r="E584" i="5"/>
  <c r="E585" i="5"/>
  <c r="E586" i="5"/>
  <c r="E587" i="5"/>
  <c r="E588" i="5"/>
  <c r="E589" i="5"/>
  <c r="X589" i="5" s="1"/>
  <c r="E590" i="5"/>
  <c r="E591" i="5"/>
  <c r="E592" i="5"/>
  <c r="E593" i="5"/>
  <c r="E594" i="5"/>
  <c r="E595" i="5"/>
  <c r="E596" i="5"/>
  <c r="E597" i="5"/>
  <c r="X597" i="5" s="1"/>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X637" i="5" s="1"/>
  <c r="E638" i="5"/>
  <c r="E639" i="5"/>
  <c r="E640" i="5"/>
  <c r="E641" i="5"/>
  <c r="E642" i="5"/>
  <c r="E643" i="5"/>
  <c r="E644" i="5"/>
  <c r="E645" i="5"/>
  <c r="X645" i="5" s="1"/>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X685" i="5" s="1"/>
  <c r="E686" i="5"/>
  <c r="E687" i="5"/>
  <c r="E688" i="5"/>
  <c r="E689" i="5"/>
  <c r="E690" i="5"/>
  <c r="E691" i="5"/>
  <c r="E692" i="5"/>
  <c r="E693" i="5"/>
  <c r="X693" i="5" s="1"/>
  <c r="E694" i="5"/>
  <c r="E695" i="5"/>
  <c r="E696" i="5"/>
  <c r="E697" i="5"/>
  <c r="E698" i="5"/>
  <c r="E699" i="5"/>
  <c r="E700" i="5"/>
  <c r="E701" i="5"/>
  <c r="X701" i="5" s="1"/>
  <c r="E702" i="5"/>
  <c r="E703" i="5"/>
  <c r="E704" i="5"/>
  <c r="E705" i="5"/>
  <c r="E706" i="5"/>
  <c r="E707" i="5"/>
  <c r="E708" i="5"/>
  <c r="E709" i="5"/>
  <c r="X709" i="5" s="1"/>
  <c r="E710" i="5"/>
  <c r="E711" i="5"/>
  <c r="E712" i="5"/>
  <c r="E713" i="5"/>
  <c r="E714" i="5"/>
  <c r="E715" i="5"/>
  <c r="E716" i="5"/>
  <c r="E717" i="5"/>
  <c r="X717" i="5" s="1"/>
  <c r="E718" i="5"/>
  <c r="E719" i="5"/>
  <c r="E720" i="5"/>
  <c r="E721" i="5"/>
  <c r="E722" i="5"/>
  <c r="E723" i="5"/>
  <c r="E724" i="5"/>
  <c r="E725" i="5"/>
  <c r="X725" i="5" s="1"/>
  <c r="E726" i="5"/>
  <c r="E727" i="5"/>
  <c r="E728" i="5"/>
  <c r="E729" i="5"/>
  <c r="E730" i="5"/>
  <c r="E731" i="5"/>
  <c r="E732" i="5"/>
  <c r="E733" i="5"/>
  <c r="X733" i="5" s="1"/>
  <c r="E734" i="5"/>
  <c r="E735" i="5"/>
  <c r="E736" i="5"/>
  <c r="E737" i="5"/>
  <c r="E738" i="5"/>
  <c r="E739" i="5"/>
  <c r="E740" i="5"/>
  <c r="E741" i="5"/>
  <c r="X741" i="5" s="1"/>
  <c r="E742" i="5"/>
  <c r="E743" i="5"/>
  <c r="E744" i="5"/>
  <c r="E745" i="5"/>
  <c r="E746" i="5"/>
  <c r="E747" i="5"/>
  <c r="E748" i="5"/>
  <c r="E749" i="5"/>
  <c r="X749" i="5" s="1"/>
  <c r="E750" i="5"/>
  <c r="E751" i="5"/>
  <c r="E752" i="5"/>
  <c r="E753" i="5"/>
  <c r="E754" i="5"/>
  <c r="E755" i="5"/>
  <c r="E756" i="5"/>
  <c r="E757" i="5"/>
  <c r="X757" i="5" s="1"/>
  <c r="E758" i="5"/>
  <c r="E759" i="5"/>
  <c r="E760" i="5"/>
  <c r="E761" i="5"/>
  <c r="E762" i="5"/>
  <c r="E763" i="5"/>
  <c r="E764" i="5"/>
  <c r="E765" i="5"/>
  <c r="X765" i="5" s="1"/>
  <c r="E766" i="5"/>
  <c r="E767" i="5"/>
  <c r="E768" i="5"/>
  <c r="E769" i="5"/>
  <c r="E770" i="5"/>
  <c r="E771" i="5"/>
  <c r="E772" i="5"/>
  <c r="E773" i="5"/>
  <c r="X773" i="5" s="1"/>
  <c r="E774" i="5"/>
  <c r="E775" i="5"/>
  <c r="E776" i="5"/>
  <c r="E777" i="5"/>
  <c r="E778" i="5"/>
  <c r="E779" i="5"/>
  <c r="E780" i="5"/>
  <c r="E781" i="5"/>
  <c r="X781" i="5" s="1"/>
  <c r="E782" i="5"/>
  <c r="E783" i="5"/>
  <c r="E784" i="5"/>
  <c r="E785" i="5"/>
  <c r="E786" i="5"/>
  <c r="E787" i="5"/>
  <c r="E788" i="5"/>
  <c r="E789" i="5"/>
  <c r="X789" i="5" s="1"/>
  <c r="E790" i="5"/>
  <c r="E791" i="5"/>
  <c r="E792" i="5"/>
  <c r="E793" i="5"/>
  <c r="E794" i="5"/>
  <c r="E795" i="5"/>
  <c r="E796" i="5"/>
  <c r="E797" i="5"/>
  <c r="X797" i="5" s="1"/>
  <c r="E798" i="5"/>
  <c r="E799" i="5"/>
  <c r="E800" i="5"/>
  <c r="E801" i="5"/>
  <c r="E802" i="5"/>
  <c r="E803" i="5"/>
  <c r="E804" i="5"/>
  <c r="E805" i="5"/>
  <c r="X805" i="5" s="1"/>
  <c r="E806" i="5"/>
  <c r="E807" i="5"/>
  <c r="E808" i="5"/>
  <c r="E809" i="5"/>
  <c r="E810" i="5"/>
  <c r="E811" i="5"/>
  <c r="E812" i="5"/>
  <c r="E813" i="5"/>
  <c r="X813" i="5" s="1"/>
  <c r="E814" i="5"/>
  <c r="E815" i="5"/>
  <c r="E816" i="5"/>
  <c r="E817" i="5"/>
  <c r="E818" i="5"/>
  <c r="E819" i="5"/>
  <c r="E820" i="5"/>
  <c r="E821" i="5"/>
  <c r="X821" i="5" s="1"/>
  <c r="E822" i="5"/>
  <c r="E823" i="5"/>
  <c r="E824" i="5"/>
  <c r="E825" i="5"/>
  <c r="E826" i="5"/>
  <c r="E827" i="5"/>
  <c r="E828" i="5"/>
  <c r="E829" i="5"/>
  <c r="X829" i="5" s="1"/>
  <c r="E830" i="5"/>
  <c r="E831" i="5"/>
  <c r="E832" i="5"/>
  <c r="E833" i="5"/>
  <c r="E834" i="5"/>
  <c r="E835" i="5"/>
  <c r="E836" i="5"/>
  <c r="E837" i="5"/>
  <c r="X837" i="5" s="1"/>
  <c r="E838" i="5"/>
  <c r="E839" i="5"/>
  <c r="E840" i="5"/>
  <c r="E841" i="5"/>
  <c r="E842" i="5"/>
  <c r="E843" i="5"/>
  <c r="E844" i="5"/>
  <c r="E845" i="5"/>
  <c r="X845" i="5" s="1"/>
  <c r="E846" i="5"/>
  <c r="E847" i="5"/>
  <c r="E848" i="5"/>
  <c r="E849" i="5"/>
  <c r="E850" i="5"/>
  <c r="E851" i="5"/>
  <c r="E852" i="5"/>
  <c r="E853" i="5"/>
  <c r="X853" i="5" s="1"/>
  <c r="E854" i="5"/>
  <c r="E855" i="5"/>
  <c r="E856" i="5"/>
  <c r="E857" i="5"/>
  <c r="E858" i="5"/>
  <c r="E859" i="5"/>
  <c r="E860" i="5"/>
  <c r="E861" i="5"/>
  <c r="X861" i="5" s="1"/>
  <c r="E862" i="5"/>
  <c r="E863" i="5"/>
  <c r="E864" i="5"/>
  <c r="E865" i="5"/>
  <c r="E866" i="5"/>
  <c r="E867" i="5"/>
  <c r="E868" i="5"/>
  <c r="E869" i="5"/>
  <c r="X869" i="5" s="1"/>
  <c r="E870" i="5"/>
  <c r="E871" i="5"/>
  <c r="E872" i="5"/>
  <c r="E873" i="5"/>
  <c r="E874" i="5"/>
  <c r="E875" i="5"/>
  <c r="E876" i="5"/>
  <c r="E877" i="5"/>
  <c r="X877" i="5" s="1"/>
  <c r="E878" i="5"/>
  <c r="E879" i="5"/>
  <c r="E880" i="5"/>
  <c r="E881" i="5"/>
  <c r="E882" i="5"/>
  <c r="E883" i="5"/>
  <c r="E884" i="5"/>
  <c r="E885" i="5"/>
  <c r="X885" i="5" s="1"/>
  <c r="E886" i="5"/>
  <c r="E887" i="5"/>
  <c r="E888" i="5"/>
  <c r="E889" i="5"/>
  <c r="E890" i="5"/>
  <c r="E891" i="5"/>
  <c r="E892" i="5"/>
  <c r="E893" i="5"/>
  <c r="X893" i="5" s="1"/>
  <c r="E894" i="5"/>
  <c r="E895" i="5"/>
  <c r="E896" i="5"/>
  <c r="E897" i="5"/>
  <c r="E898" i="5"/>
  <c r="E899" i="5"/>
  <c r="E900" i="5"/>
  <c r="E901" i="5"/>
  <c r="X901" i="5" s="1"/>
  <c r="E902" i="5"/>
  <c r="E903" i="5"/>
  <c r="E904" i="5"/>
  <c r="E905" i="5"/>
  <c r="E906" i="5"/>
  <c r="E907" i="5"/>
  <c r="E908" i="5"/>
  <c r="E909" i="5"/>
  <c r="X909" i="5" s="1"/>
  <c r="E910" i="5"/>
  <c r="E911" i="5"/>
  <c r="E912" i="5"/>
  <c r="E913" i="5"/>
  <c r="E914" i="5"/>
  <c r="E915" i="5"/>
  <c r="E916" i="5"/>
  <c r="E917" i="5"/>
  <c r="X917" i="5" s="1"/>
  <c r="E918" i="5"/>
  <c r="E919" i="5"/>
  <c r="E920" i="5"/>
  <c r="E921" i="5"/>
  <c r="E922" i="5"/>
  <c r="E923" i="5"/>
  <c r="E924" i="5"/>
  <c r="E925" i="5"/>
  <c r="X925" i="5" s="1"/>
  <c r="E926" i="5"/>
  <c r="E927" i="5"/>
  <c r="E928" i="5"/>
  <c r="E929" i="5"/>
  <c r="E930" i="5"/>
  <c r="E931" i="5"/>
  <c r="E932" i="5"/>
  <c r="E933" i="5"/>
  <c r="X933" i="5" s="1"/>
  <c r="E934" i="5"/>
  <c r="E935" i="5"/>
  <c r="E936" i="5"/>
  <c r="E937" i="5"/>
  <c r="E938" i="5"/>
  <c r="E939" i="5"/>
  <c r="E940" i="5"/>
  <c r="E941" i="5"/>
  <c r="X941" i="5" s="1"/>
  <c r="E942" i="5"/>
  <c r="E943" i="5"/>
  <c r="E944" i="5"/>
  <c r="E945" i="5"/>
  <c r="E946" i="5"/>
  <c r="E947" i="5"/>
  <c r="E948" i="5"/>
  <c r="E949" i="5"/>
  <c r="X949" i="5" s="1"/>
  <c r="E950" i="5"/>
  <c r="E951" i="5"/>
  <c r="E952" i="5"/>
  <c r="E953" i="5"/>
  <c r="E954" i="5"/>
  <c r="E955" i="5"/>
  <c r="E956" i="5"/>
  <c r="E957" i="5"/>
  <c r="X957" i="5" s="1"/>
  <c r="E958" i="5"/>
  <c r="E959" i="5"/>
  <c r="E960" i="5"/>
  <c r="E961" i="5"/>
  <c r="E962" i="5"/>
  <c r="E963" i="5"/>
  <c r="E964" i="5"/>
  <c r="E965" i="5"/>
  <c r="E966" i="5"/>
  <c r="E967" i="5"/>
  <c r="E968" i="5"/>
  <c r="E969" i="5"/>
  <c r="E970" i="5"/>
  <c r="E971" i="5"/>
  <c r="E972" i="5"/>
  <c r="E973" i="5"/>
  <c r="X973" i="5" s="1"/>
  <c r="E974" i="5"/>
  <c r="E975" i="5"/>
  <c r="E976" i="5"/>
  <c r="E977" i="5"/>
  <c r="E978" i="5"/>
  <c r="E979" i="5"/>
  <c r="E980" i="5"/>
  <c r="E981" i="5"/>
  <c r="X981" i="5" s="1"/>
  <c r="E982" i="5"/>
  <c r="E983" i="5"/>
  <c r="E984" i="5"/>
  <c r="E985" i="5"/>
  <c r="E986" i="5"/>
  <c r="E987" i="5"/>
  <c r="E988" i="5"/>
  <c r="E989" i="5"/>
  <c r="X989" i="5" s="1"/>
  <c r="E990" i="5"/>
  <c r="E991" i="5"/>
  <c r="E992" i="5"/>
  <c r="E993" i="5"/>
  <c r="E994" i="5"/>
  <c r="E995" i="5"/>
  <c r="E996" i="5"/>
  <c r="E997" i="5"/>
  <c r="X997" i="5" s="1"/>
  <c r="E998" i="5"/>
  <c r="E999" i="5"/>
  <c r="E1000" i="5"/>
  <c r="E1001" i="5"/>
  <c r="E1002" i="5"/>
  <c r="E1003" i="5"/>
  <c r="E1004" i="5"/>
  <c r="E1005" i="5"/>
  <c r="E1006" i="5"/>
  <c r="E1007" i="5"/>
  <c r="E1008" i="5"/>
  <c r="E1009" i="5"/>
  <c r="E1010" i="5"/>
  <c r="E1011" i="5"/>
  <c r="E1012" i="5"/>
  <c r="E1013" i="5"/>
  <c r="X1013" i="5" s="1"/>
  <c r="E1014" i="5"/>
  <c r="E1015" i="5"/>
  <c r="E1016" i="5"/>
  <c r="E1017" i="5"/>
  <c r="E1018" i="5"/>
  <c r="E1019" i="5"/>
  <c r="E1020" i="5"/>
  <c r="E1021" i="5"/>
  <c r="X1021" i="5" s="1"/>
  <c r="E1022" i="5"/>
  <c r="E1023" i="5"/>
  <c r="E1024" i="5"/>
  <c r="E1025" i="5"/>
  <c r="E1026" i="5"/>
  <c r="E1027" i="5"/>
  <c r="E1028" i="5"/>
  <c r="E1029" i="5"/>
  <c r="X1029" i="5" s="1"/>
  <c r="E1030" i="5"/>
  <c r="E1031" i="5"/>
  <c r="E1032" i="5"/>
  <c r="E1033" i="5"/>
  <c r="E1034" i="5"/>
  <c r="E1035" i="5"/>
  <c r="E1036" i="5"/>
  <c r="E1037" i="5"/>
  <c r="X1037" i="5" s="1"/>
  <c r="E1038" i="5"/>
  <c r="E1039" i="5"/>
  <c r="E1040" i="5"/>
  <c r="E1041" i="5"/>
  <c r="E1042" i="5"/>
  <c r="E1043" i="5"/>
  <c r="E1044" i="5"/>
  <c r="E1045" i="5"/>
  <c r="X1045" i="5" s="1"/>
  <c r="E1046" i="5"/>
  <c r="E1047" i="5"/>
  <c r="E1048" i="5"/>
  <c r="E1049" i="5"/>
  <c r="E1050" i="5"/>
  <c r="E1051" i="5"/>
  <c r="E1052" i="5"/>
  <c r="E1053" i="5"/>
  <c r="X1053" i="5" s="1"/>
  <c r="E1054" i="5"/>
  <c r="E1055" i="5"/>
  <c r="E1056" i="5"/>
  <c r="E1057" i="5"/>
  <c r="E1058" i="5"/>
  <c r="E1059" i="5"/>
  <c r="E1060" i="5"/>
  <c r="E1061" i="5"/>
  <c r="X1061" i="5" s="1"/>
  <c r="E1062" i="5"/>
  <c r="E1063" i="5"/>
  <c r="E1064" i="5"/>
  <c r="E1065" i="5"/>
  <c r="E1066" i="5"/>
  <c r="E1067" i="5"/>
  <c r="E1068" i="5"/>
  <c r="E1069" i="5"/>
  <c r="X1069" i="5" s="1"/>
  <c r="E1070" i="5"/>
  <c r="E1071" i="5"/>
  <c r="E1072" i="5"/>
  <c r="E1073" i="5"/>
  <c r="E1074" i="5"/>
  <c r="E1075" i="5"/>
  <c r="E1076" i="5"/>
  <c r="E1077" i="5"/>
  <c r="X1077" i="5" s="1"/>
  <c r="E1078" i="5"/>
  <c r="E1079" i="5"/>
  <c r="E1080" i="5"/>
  <c r="E1081" i="5"/>
  <c r="E1082" i="5"/>
  <c r="E1083" i="5"/>
  <c r="E1084" i="5"/>
  <c r="E1085" i="5"/>
  <c r="X1085" i="5" s="1"/>
  <c r="E1086" i="5"/>
  <c r="E1087" i="5"/>
  <c r="E1088" i="5"/>
  <c r="E1089" i="5"/>
  <c r="E1090" i="5"/>
  <c r="E1091" i="5"/>
  <c r="E1092" i="5"/>
  <c r="E1093" i="5"/>
  <c r="E1094" i="5"/>
  <c r="E1095" i="5"/>
  <c r="E1096" i="5"/>
  <c r="E1097" i="5"/>
  <c r="E1098" i="5"/>
  <c r="E1099" i="5"/>
  <c r="E1100" i="5"/>
  <c r="E1101" i="5"/>
  <c r="X1101" i="5" s="1"/>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X1125" i="5" s="1"/>
  <c r="E1126" i="5"/>
  <c r="E1127" i="5"/>
  <c r="E1128" i="5"/>
  <c r="E1129" i="5"/>
  <c r="E1130" i="5"/>
  <c r="E1131" i="5"/>
  <c r="E1132" i="5"/>
  <c r="E1133" i="5"/>
  <c r="X1133" i="5" s="1"/>
  <c r="E1134" i="5"/>
  <c r="E1135" i="5"/>
  <c r="E1136" i="5"/>
  <c r="E1137" i="5"/>
  <c r="E1138" i="5"/>
  <c r="E1139" i="5"/>
  <c r="E1140" i="5"/>
  <c r="E1141" i="5"/>
  <c r="X1141" i="5" s="1"/>
  <c r="E1142" i="5"/>
  <c r="E1143" i="5"/>
  <c r="E1144" i="5"/>
  <c r="E1145" i="5"/>
  <c r="E1146" i="5"/>
  <c r="E1147" i="5"/>
  <c r="E1148" i="5"/>
  <c r="E1149" i="5"/>
  <c r="X1149" i="5" s="1"/>
  <c r="E1150" i="5"/>
  <c r="E1151" i="5"/>
  <c r="E1152" i="5"/>
  <c r="E1153" i="5"/>
  <c r="E1154" i="5"/>
  <c r="E1155" i="5"/>
  <c r="E1156" i="5"/>
  <c r="E1157" i="5"/>
  <c r="X1157" i="5" s="1"/>
  <c r="E1158" i="5"/>
  <c r="E1159" i="5"/>
  <c r="E1160" i="5"/>
  <c r="E1161" i="5"/>
  <c r="E1162" i="5"/>
  <c r="E1163" i="5"/>
  <c r="E1164" i="5"/>
  <c r="E1165" i="5"/>
  <c r="X1165" i="5" s="1"/>
  <c r="E1166" i="5"/>
  <c r="E1167" i="5"/>
  <c r="E1168" i="5"/>
  <c r="E1169" i="5"/>
  <c r="E1170" i="5"/>
  <c r="E1171" i="5"/>
  <c r="E1172" i="5"/>
  <c r="E1173" i="5"/>
  <c r="X1173" i="5" s="1"/>
  <c r="E1174" i="5"/>
  <c r="E1175" i="5"/>
  <c r="E1176" i="5"/>
  <c r="E1177" i="5"/>
  <c r="E1178" i="5"/>
  <c r="E1179" i="5"/>
  <c r="E1180" i="5"/>
  <c r="E1181" i="5"/>
  <c r="X1181" i="5" s="1"/>
  <c r="E1182" i="5"/>
  <c r="E1183" i="5"/>
  <c r="E1184" i="5"/>
  <c r="E1185" i="5"/>
  <c r="E1186" i="5"/>
  <c r="E1187" i="5"/>
  <c r="E1188" i="5"/>
  <c r="E1189" i="5"/>
  <c r="X1189" i="5" s="1"/>
  <c r="E1190" i="5"/>
  <c r="E1191" i="5"/>
  <c r="E1192" i="5"/>
  <c r="E1193" i="5"/>
  <c r="E1194" i="5"/>
  <c r="E1195" i="5"/>
  <c r="E1196" i="5"/>
  <c r="E1197" i="5"/>
  <c r="X1197" i="5" s="1"/>
  <c r="E1198" i="5"/>
  <c r="E1199" i="5"/>
  <c r="E1200" i="5"/>
  <c r="E1201" i="5"/>
  <c r="E1202" i="5"/>
  <c r="E1203" i="5"/>
  <c r="E1204" i="5"/>
  <c r="E1205" i="5"/>
  <c r="X1205" i="5" s="1"/>
  <c r="E1206" i="5"/>
  <c r="E1207" i="5"/>
  <c r="E1208" i="5"/>
  <c r="E1209" i="5"/>
  <c r="E1210" i="5"/>
  <c r="E1211" i="5"/>
  <c r="E1212" i="5"/>
  <c r="E1213" i="5"/>
  <c r="X1213" i="5" s="1"/>
  <c r="E1214" i="5"/>
  <c r="E1215" i="5"/>
  <c r="E1216" i="5"/>
  <c r="E1217" i="5"/>
  <c r="E1218" i="5"/>
  <c r="E1219" i="5"/>
  <c r="E1220" i="5"/>
  <c r="E1221" i="5"/>
  <c r="X1221" i="5" s="1"/>
  <c r="E1222" i="5"/>
  <c r="E1223" i="5"/>
  <c r="E1224" i="5"/>
  <c r="E1225" i="5"/>
  <c r="E1226" i="5"/>
  <c r="E1227" i="5"/>
  <c r="E1228" i="5"/>
  <c r="E1229" i="5"/>
  <c r="X1229" i="5" s="1"/>
  <c r="E1230" i="5"/>
  <c r="E1231" i="5"/>
  <c r="E1232" i="5"/>
  <c r="E1233" i="5"/>
  <c r="E1234" i="5"/>
  <c r="E1235" i="5"/>
  <c r="E1236" i="5"/>
  <c r="E1237" i="5"/>
  <c r="X1237" i="5" s="1"/>
  <c r="E1238" i="5"/>
  <c r="E1239" i="5"/>
  <c r="E1240" i="5"/>
  <c r="E1241" i="5"/>
  <c r="E1242" i="5"/>
  <c r="E1243" i="5"/>
  <c r="E1244" i="5"/>
  <c r="E1245" i="5"/>
  <c r="X1245" i="5" s="1"/>
  <c r="E1246" i="5"/>
  <c r="E1247" i="5"/>
  <c r="E1248" i="5"/>
  <c r="E1249" i="5"/>
  <c r="E1250" i="5"/>
  <c r="E1251" i="5"/>
  <c r="E1252" i="5"/>
  <c r="E1253" i="5"/>
  <c r="X1253" i="5" s="1"/>
  <c r="E1254" i="5"/>
  <c r="E1255" i="5"/>
  <c r="E1256" i="5"/>
  <c r="E1257" i="5"/>
  <c r="E1258" i="5"/>
  <c r="E1259" i="5"/>
  <c r="E1260" i="5"/>
  <c r="E1261" i="5"/>
  <c r="X1261" i="5" s="1"/>
  <c r="E1262" i="5"/>
  <c r="E1263" i="5"/>
  <c r="E1264" i="5"/>
  <c r="E1265" i="5"/>
  <c r="E1266" i="5"/>
  <c r="E1267" i="5"/>
  <c r="E1268" i="5"/>
  <c r="E1269" i="5"/>
  <c r="X1269" i="5" s="1"/>
  <c r="E1270" i="5"/>
  <c r="E1271" i="5"/>
  <c r="E1272" i="5"/>
  <c r="E1273" i="5"/>
  <c r="E1274" i="5"/>
  <c r="E1275" i="5"/>
  <c r="E1276" i="5"/>
  <c r="E1277" i="5"/>
  <c r="X1277" i="5" s="1"/>
  <c r="E1278" i="5"/>
  <c r="E1279" i="5"/>
  <c r="E1280" i="5"/>
  <c r="E1281" i="5"/>
  <c r="E1282" i="5"/>
  <c r="E1283" i="5"/>
  <c r="E1284" i="5"/>
  <c r="E1285" i="5"/>
  <c r="X1285" i="5" s="1"/>
  <c r="E1286" i="5"/>
  <c r="E1287" i="5"/>
  <c r="E1288" i="5"/>
  <c r="E1289" i="5"/>
  <c r="E1290" i="5"/>
  <c r="E1291" i="5"/>
  <c r="E1292" i="5"/>
  <c r="E1293" i="5"/>
  <c r="X1293" i="5" s="1"/>
  <c r="E1294" i="5"/>
  <c r="E1295" i="5"/>
  <c r="E1296" i="5"/>
  <c r="E1297" i="5"/>
  <c r="E1298" i="5"/>
  <c r="E1299" i="5"/>
  <c r="E1300" i="5"/>
  <c r="E1301" i="5"/>
  <c r="X1301" i="5" s="1"/>
  <c r="E1302" i="5"/>
  <c r="E1303" i="5"/>
  <c r="E1304" i="5"/>
  <c r="E1305" i="5"/>
  <c r="E1306" i="5"/>
  <c r="E1307" i="5"/>
  <c r="E1308" i="5"/>
  <c r="E1309" i="5"/>
  <c r="X1309" i="5" s="1"/>
  <c r="E1310" i="5"/>
  <c r="E1311" i="5"/>
  <c r="E1312" i="5"/>
  <c r="E1313" i="5"/>
  <c r="E1314" i="5"/>
  <c r="E1315" i="5"/>
  <c r="E1316" i="5"/>
  <c r="E1317" i="5"/>
  <c r="X1317" i="5" s="1"/>
  <c r="E1318" i="5"/>
  <c r="E1319" i="5"/>
  <c r="E1320" i="5"/>
  <c r="E1321" i="5"/>
  <c r="E1322" i="5"/>
  <c r="E1323" i="5"/>
  <c r="E1324" i="5"/>
  <c r="E1325" i="5"/>
  <c r="E1326" i="5"/>
  <c r="E1327" i="5"/>
  <c r="E1328" i="5"/>
  <c r="E1329" i="5"/>
  <c r="E1330" i="5"/>
  <c r="E1331" i="5"/>
  <c r="E1332" i="5"/>
  <c r="E1333" i="5"/>
  <c r="X1333" i="5" s="1"/>
  <c r="E1334" i="5"/>
  <c r="E1335" i="5"/>
  <c r="E1336" i="5"/>
  <c r="E1337" i="5"/>
  <c r="E1338" i="5"/>
  <c r="E1339" i="5"/>
  <c r="E1340" i="5"/>
  <c r="E1341" i="5"/>
  <c r="X1341" i="5" s="1"/>
  <c r="E1342" i="5"/>
  <c r="E1343" i="5"/>
  <c r="E1344" i="5"/>
  <c r="E1345" i="5"/>
  <c r="E1346" i="5"/>
  <c r="E1347" i="5"/>
  <c r="E1348" i="5"/>
  <c r="E1349" i="5"/>
  <c r="E1350" i="5"/>
  <c r="E1351" i="5"/>
  <c r="E1352" i="5"/>
  <c r="E1353" i="5"/>
  <c r="E1354" i="5"/>
  <c r="E1355" i="5"/>
  <c r="E1356" i="5"/>
  <c r="E1357" i="5"/>
  <c r="X1357" i="5" s="1"/>
  <c r="E1358" i="5"/>
  <c r="E1359" i="5"/>
  <c r="E1360" i="5"/>
  <c r="E1361" i="5"/>
  <c r="E1362" i="5"/>
  <c r="E1363" i="5"/>
  <c r="E1364" i="5"/>
  <c r="E1365" i="5"/>
  <c r="X1365" i="5" s="1"/>
  <c r="E1366" i="5"/>
  <c r="E1367" i="5"/>
  <c r="E1368" i="5"/>
  <c r="E1369" i="5"/>
  <c r="E1370" i="5"/>
  <c r="E1371" i="5"/>
  <c r="E1372" i="5"/>
  <c r="E1373" i="5"/>
  <c r="X1373" i="5" s="1"/>
  <c r="E1374" i="5"/>
  <c r="E1375" i="5"/>
  <c r="E1376" i="5"/>
  <c r="E1377" i="5"/>
  <c r="E1378" i="5"/>
  <c r="E1379" i="5"/>
  <c r="E1380" i="5"/>
  <c r="E1381" i="5"/>
  <c r="X1381" i="5" s="1"/>
  <c r="E1382" i="5"/>
  <c r="E1383" i="5"/>
  <c r="E1384" i="5"/>
  <c r="E1385" i="5"/>
  <c r="E1386" i="5"/>
  <c r="E1387" i="5"/>
  <c r="E1388" i="5"/>
  <c r="E1389" i="5"/>
  <c r="X1389" i="5" s="1"/>
  <c r="E1390" i="5"/>
  <c r="E1391" i="5"/>
  <c r="E1392" i="5"/>
  <c r="E1393" i="5"/>
  <c r="E1394" i="5"/>
  <c r="E1395" i="5"/>
  <c r="E1396" i="5"/>
  <c r="E1397" i="5"/>
  <c r="X1397" i="5" s="1"/>
  <c r="E1398" i="5"/>
  <c r="E1399" i="5"/>
  <c r="E1400" i="5"/>
  <c r="E1401" i="5"/>
  <c r="E1402" i="5"/>
  <c r="E1403" i="5"/>
  <c r="E1404" i="5"/>
  <c r="E1405" i="5"/>
  <c r="X1405" i="5" s="1"/>
  <c r="E1406" i="5"/>
  <c r="E1407" i="5"/>
  <c r="E1408" i="5"/>
  <c r="E1409" i="5"/>
  <c r="E1410" i="5"/>
  <c r="E1411" i="5"/>
  <c r="E1412" i="5"/>
  <c r="E1413" i="5"/>
  <c r="X1413" i="5" s="1"/>
  <c r="E1414" i="5"/>
  <c r="E1415" i="5"/>
  <c r="E1416" i="5"/>
  <c r="E1417" i="5"/>
  <c r="E1418" i="5"/>
  <c r="E1419" i="5"/>
  <c r="E1420" i="5"/>
  <c r="E1421" i="5"/>
  <c r="E1422" i="5"/>
  <c r="E1423" i="5"/>
  <c r="E1424" i="5"/>
  <c r="E1425" i="5"/>
  <c r="E1426" i="5"/>
  <c r="E1427" i="5"/>
  <c r="E1428" i="5"/>
  <c r="E1429" i="5"/>
  <c r="X1429" i="5" s="1"/>
  <c r="E1430" i="5"/>
  <c r="E1431" i="5"/>
  <c r="E1432" i="5"/>
  <c r="E1433" i="5"/>
  <c r="E1434" i="5"/>
  <c r="E1435" i="5"/>
  <c r="E1436" i="5"/>
  <c r="E1437" i="5"/>
  <c r="X1437" i="5" s="1"/>
  <c r="E1438" i="5"/>
  <c r="E1439" i="5"/>
  <c r="E1440" i="5"/>
  <c r="E1441" i="5"/>
  <c r="E1442" i="5"/>
  <c r="E1443" i="5"/>
  <c r="E1444" i="5"/>
  <c r="E1445" i="5"/>
  <c r="X1445" i="5" s="1"/>
  <c r="E1446" i="5"/>
  <c r="E1447" i="5"/>
  <c r="E1448" i="5"/>
  <c r="E1449" i="5"/>
  <c r="E1450" i="5"/>
  <c r="E1451" i="5"/>
  <c r="E1452" i="5"/>
  <c r="E1453" i="5"/>
  <c r="X1453" i="5" s="1"/>
  <c r="E1454" i="5"/>
  <c r="E1455" i="5"/>
  <c r="E1456" i="5"/>
  <c r="E1457" i="5"/>
  <c r="E1458" i="5"/>
  <c r="E1459" i="5"/>
  <c r="E1460" i="5"/>
  <c r="E1461" i="5"/>
  <c r="X1461" i="5" s="1"/>
  <c r="E1462" i="5"/>
  <c r="E1463" i="5"/>
  <c r="E1464" i="5"/>
  <c r="E1465" i="5"/>
  <c r="E1466" i="5"/>
  <c r="E1467" i="5"/>
  <c r="E1468" i="5"/>
  <c r="E1469" i="5"/>
  <c r="X1469" i="5" s="1"/>
  <c r="E1470" i="5"/>
  <c r="E1471" i="5"/>
  <c r="E1472" i="5"/>
  <c r="E1473" i="5"/>
  <c r="E1474" i="5"/>
  <c r="E1475" i="5"/>
  <c r="E1476" i="5"/>
  <c r="E1477" i="5"/>
  <c r="X1477" i="5" s="1"/>
  <c r="E1478" i="5"/>
  <c r="E1479" i="5"/>
  <c r="E1480" i="5"/>
  <c r="E1481" i="5"/>
  <c r="E1482" i="5"/>
  <c r="E1483" i="5"/>
  <c r="E1484" i="5"/>
  <c r="E1485" i="5"/>
  <c r="X1485" i="5" s="1"/>
  <c r="E1486" i="5"/>
  <c r="E1487" i="5"/>
  <c r="E1488" i="5"/>
  <c r="E1489" i="5"/>
  <c r="E1490" i="5"/>
  <c r="E1491" i="5"/>
  <c r="E1492" i="5"/>
  <c r="E1493" i="5"/>
  <c r="X1493" i="5" s="1"/>
  <c r="E1494" i="5"/>
  <c r="E1495" i="5"/>
  <c r="E1496" i="5"/>
  <c r="E1497" i="5"/>
  <c r="E1498" i="5"/>
  <c r="E1499" i="5"/>
  <c r="E1500" i="5"/>
  <c r="E1501" i="5"/>
  <c r="X1501" i="5" s="1"/>
  <c r="E1502" i="5"/>
  <c r="E1503" i="5"/>
  <c r="E1504" i="5"/>
  <c r="E1505" i="5"/>
  <c r="E1506" i="5"/>
  <c r="E1507" i="5"/>
  <c r="E1508" i="5"/>
  <c r="E1509" i="5"/>
  <c r="X1509" i="5" s="1"/>
  <c r="E1510" i="5"/>
  <c r="E1511" i="5"/>
  <c r="E1512" i="5"/>
  <c r="E1513" i="5"/>
  <c r="E1514" i="5"/>
  <c r="E1515" i="5"/>
  <c r="E1516" i="5"/>
  <c r="E1517" i="5"/>
  <c r="X1517" i="5" s="1"/>
  <c r="E1518" i="5"/>
  <c r="E1519" i="5"/>
  <c r="E1520" i="5"/>
  <c r="E1521" i="5"/>
  <c r="E1522" i="5"/>
  <c r="E1523" i="5"/>
  <c r="E1524" i="5"/>
  <c r="E1525" i="5"/>
  <c r="X1525" i="5" s="1"/>
  <c r="E1526" i="5"/>
  <c r="E1527" i="5"/>
  <c r="E1528" i="5"/>
  <c r="E1529" i="5"/>
  <c r="E1530" i="5"/>
  <c r="E1531" i="5"/>
  <c r="E1532" i="5"/>
  <c r="E1533" i="5"/>
  <c r="E1534" i="5"/>
  <c r="E1535" i="5"/>
  <c r="E1536" i="5"/>
  <c r="E1537" i="5"/>
  <c r="E1538" i="5"/>
  <c r="E1539" i="5"/>
  <c r="E1540" i="5"/>
  <c r="E1541" i="5"/>
  <c r="X1541" i="5" s="1"/>
  <c r="E1542" i="5"/>
  <c r="E1543" i="5"/>
  <c r="E1544" i="5"/>
  <c r="E1545" i="5"/>
  <c r="E1546" i="5"/>
  <c r="E1547" i="5"/>
  <c r="E1548" i="5"/>
  <c r="E1549" i="5"/>
  <c r="X1549" i="5" s="1"/>
  <c r="E1550" i="5"/>
  <c r="E1551" i="5"/>
  <c r="E1552" i="5"/>
  <c r="E1553" i="5"/>
  <c r="E1554" i="5"/>
  <c r="E1555" i="5"/>
  <c r="E1556" i="5"/>
  <c r="E1557" i="5"/>
  <c r="X1557" i="5" s="1"/>
  <c r="E1558" i="5"/>
  <c r="E1559" i="5"/>
  <c r="E1560" i="5"/>
  <c r="E1561" i="5"/>
  <c r="E1562" i="5"/>
  <c r="E1563" i="5"/>
  <c r="E1564" i="5"/>
  <c r="E1565" i="5"/>
  <c r="X1565" i="5" s="1"/>
  <c r="E1566" i="5"/>
  <c r="E1567" i="5"/>
  <c r="E1568" i="5"/>
  <c r="E1569" i="5"/>
  <c r="E1570" i="5"/>
  <c r="E1571" i="5"/>
  <c r="E1572" i="5"/>
  <c r="E1573" i="5"/>
  <c r="X1573" i="5" s="1"/>
  <c r="E1574" i="5"/>
  <c r="E1575" i="5"/>
  <c r="E1576" i="5"/>
  <c r="E1577" i="5"/>
  <c r="E1578" i="5"/>
  <c r="E1579" i="5"/>
  <c r="E1580" i="5"/>
  <c r="E1581" i="5"/>
  <c r="X1581" i="5" s="1"/>
  <c r="E1582" i="5"/>
  <c r="E1583" i="5"/>
  <c r="E1584" i="5"/>
  <c r="E1585" i="5"/>
  <c r="E1586" i="5"/>
  <c r="E1587" i="5"/>
  <c r="E1588" i="5"/>
  <c r="E1589" i="5"/>
  <c r="X1589" i="5" s="1"/>
  <c r="E1590" i="5"/>
  <c r="E1591" i="5"/>
  <c r="E1592" i="5"/>
  <c r="E1593" i="5"/>
  <c r="E1594" i="5"/>
  <c r="E1595" i="5"/>
  <c r="E1596" i="5"/>
  <c r="E1597" i="5"/>
  <c r="X1597" i="5" s="1"/>
  <c r="E1598" i="5"/>
  <c r="E1599" i="5"/>
  <c r="E1600" i="5"/>
  <c r="E1601" i="5"/>
  <c r="E1602" i="5"/>
  <c r="E1603" i="5"/>
  <c r="E1604" i="5"/>
  <c r="E1605" i="5"/>
  <c r="X1605" i="5" s="1"/>
  <c r="E1606" i="5"/>
  <c r="E1607" i="5"/>
  <c r="E1608" i="5"/>
  <c r="E1609" i="5"/>
  <c r="E1610" i="5"/>
  <c r="E1611" i="5"/>
  <c r="E1612" i="5"/>
  <c r="E1613" i="5"/>
  <c r="X1613" i="5" s="1"/>
  <c r="E1614" i="5"/>
  <c r="E1615" i="5"/>
  <c r="E1616" i="5"/>
  <c r="E1617" i="5"/>
  <c r="E1618" i="5"/>
  <c r="E1619" i="5"/>
  <c r="E1620" i="5"/>
  <c r="E1621" i="5"/>
  <c r="X1621" i="5" s="1"/>
  <c r="E1622" i="5"/>
  <c r="E1623" i="5"/>
  <c r="E1624" i="5"/>
  <c r="E1625" i="5"/>
  <c r="E1626" i="5"/>
  <c r="E1627" i="5"/>
  <c r="E1628" i="5"/>
  <c r="E1629" i="5"/>
  <c r="X1629" i="5" s="1"/>
  <c r="E1630" i="5"/>
  <c r="E1631" i="5"/>
  <c r="E1632" i="5"/>
  <c r="E1633" i="5"/>
  <c r="E1634" i="5"/>
  <c r="E1635" i="5"/>
  <c r="E1636" i="5"/>
  <c r="E1637" i="5"/>
  <c r="X1637" i="5" s="1"/>
  <c r="E1638" i="5"/>
  <c r="E1639" i="5"/>
  <c r="E1640" i="5"/>
  <c r="E1641" i="5"/>
  <c r="E1642" i="5"/>
  <c r="E1643" i="5"/>
  <c r="E1644" i="5"/>
  <c r="E1645" i="5"/>
  <c r="X1645" i="5" s="1"/>
  <c r="E1646" i="5"/>
  <c r="E1647" i="5"/>
  <c r="E1648" i="5"/>
  <c r="E1649" i="5"/>
  <c r="E1650" i="5"/>
  <c r="E1651" i="5"/>
  <c r="E1652" i="5"/>
  <c r="E1653" i="5"/>
  <c r="X1653" i="5" s="1"/>
  <c r="E1654" i="5"/>
  <c r="E1655" i="5"/>
  <c r="E1656" i="5"/>
  <c r="E1657" i="5"/>
  <c r="E1658" i="5"/>
  <c r="E1659" i="5"/>
  <c r="E1660" i="5"/>
  <c r="E1661" i="5"/>
  <c r="X1661" i="5" s="1"/>
  <c r="E1662" i="5"/>
  <c r="E1663" i="5"/>
  <c r="E1664" i="5"/>
  <c r="E1665" i="5"/>
  <c r="E1666" i="5"/>
  <c r="E1667" i="5"/>
  <c r="E1668" i="5"/>
  <c r="E1669" i="5"/>
  <c r="X1669" i="5" s="1"/>
  <c r="E1670" i="5"/>
  <c r="E1671" i="5"/>
  <c r="E1672" i="5"/>
  <c r="E1673" i="5"/>
  <c r="E1674" i="5"/>
  <c r="E1675" i="5"/>
  <c r="E1676" i="5"/>
  <c r="E1677" i="5"/>
  <c r="X1677" i="5" s="1"/>
  <c r="E1678" i="5"/>
  <c r="E1679" i="5"/>
  <c r="E1680" i="5"/>
  <c r="E1681" i="5"/>
  <c r="E1682" i="5"/>
  <c r="E1683" i="5"/>
  <c r="E1684" i="5"/>
  <c r="E1685" i="5"/>
  <c r="X1685" i="5" s="1"/>
  <c r="E1686" i="5"/>
  <c r="E1687" i="5"/>
  <c r="E1688" i="5"/>
  <c r="E1689" i="5"/>
  <c r="E1690" i="5"/>
  <c r="E1691" i="5"/>
  <c r="E1692" i="5"/>
  <c r="E1693" i="5"/>
  <c r="X1693" i="5" s="1"/>
  <c r="E1694" i="5"/>
  <c r="E1695" i="5"/>
  <c r="E1696" i="5"/>
  <c r="E1697" i="5"/>
  <c r="E1698" i="5"/>
  <c r="E1699" i="5"/>
  <c r="E1700" i="5"/>
  <c r="E1701" i="5"/>
  <c r="X1701" i="5" s="1"/>
  <c r="E1702" i="5"/>
  <c r="E1703" i="5"/>
  <c r="E1704" i="5"/>
  <c r="E1705" i="5"/>
  <c r="E1706" i="5"/>
  <c r="E1707" i="5"/>
  <c r="E1708" i="5"/>
  <c r="E1709" i="5"/>
  <c r="X1709" i="5" s="1"/>
  <c r="E1710" i="5"/>
  <c r="E1711" i="5"/>
  <c r="E1712" i="5"/>
  <c r="E1713" i="5"/>
  <c r="E1714" i="5"/>
  <c r="E1715" i="5"/>
  <c r="E1716" i="5"/>
  <c r="E1717" i="5"/>
  <c r="X1717" i="5" s="1"/>
  <c r="E1718" i="5"/>
  <c r="E1719" i="5"/>
  <c r="E1720" i="5"/>
  <c r="E1721" i="5"/>
  <c r="E1722" i="5"/>
  <c r="E1723" i="5"/>
  <c r="E1724" i="5"/>
  <c r="E1725" i="5"/>
  <c r="X1725" i="5" s="1"/>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X1749" i="5" s="1"/>
  <c r="E1750" i="5"/>
  <c r="E1751" i="5"/>
  <c r="E1752" i="5"/>
  <c r="E1753" i="5"/>
  <c r="E1754" i="5"/>
  <c r="E1755" i="5"/>
  <c r="E1756" i="5"/>
  <c r="E1757" i="5"/>
  <c r="X1757" i="5" s="1"/>
  <c r="E1758" i="5"/>
  <c r="E1759" i="5"/>
  <c r="E1760" i="5"/>
  <c r="E1761" i="5"/>
  <c r="E1762" i="5"/>
  <c r="E1763" i="5"/>
  <c r="E1764" i="5"/>
  <c r="E1765" i="5"/>
  <c r="X1765" i="5" s="1"/>
  <c r="E1766" i="5"/>
  <c r="E1767" i="5"/>
  <c r="E1768" i="5"/>
  <c r="E1769" i="5"/>
  <c r="E1770" i="5"/>
  <c r="E1771" i="5"/>
  <c r="E1772" i="5"/>
  <c r="E1773" i="5"/>
  <c r="X1773" i="5" s="1"/>
  <c r="E1774" i="5"/>
  <c r="E1775" i="5"/>
  <c r="E1776" i="5"/>
  <c r="E1777" i="5"/>
  <c r="E1778" i="5"/>
  <c r="E1779" i="5"/>
  <c r="E1780" i="5"/>
  <c r="E1781" i="5"/>
  <c r="X1781" i="5" s="1"/>
  <c r="E1782" i="5"/>
  <c r="E1783" i="5"/>
  <c r="E1784" i="5"/>
  <c r="E1785" i="5"/>
  <c r="E1786" i="5"/>
  <c r="E1787" i="5"/>
  <c r="E1788" i="5"/>
  <c r="E1789" i="5"/>
  <c r="X1789" i="5" s="1"/>
  <c r="E1790" i="5"/>
  <c r="E1791" i="5"/>
  <c r="E1792" i="5"/>
  <c r="E1793" i="5"/>
  <c r="E1794" i="5"/>
  <c r="E1795" i="5"/>
  <c r="E1796" i="5"/>
  <c r="E1797" i="5"/>
  <c r="X1797" i="5" s="1"/>
  <c r="E1798" i="5"/>
  <c r="E1799" i="5"/>
  <c r="E1800" i="5"/>
  <c r="E1801" i="5"/>
  <c r="E1802" i="5"/>
  <c r="E1803" i="5"/>
  <c r="E1804" i="5"/>
  <c r="E1805" i="5"/>
  <c r="E1806" i="5"/>
  <c r="E1807" i="5"/>
  <c r="E1808" i="5"/>
  <c r="E1809" i="5"/>
  <c r="E1810" i="5"/>
  <c r="E1811" i="5"/>
  <c r="E1812" i="5"/>
  <c r="E1813" i="5"/>
  <c r="X1813" i="5" s="1"/>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X1861" i="5" s="1"/>
  <c r="E1862" i="5"/>
  <c r="E1863" i="5"/>
  <c r="E1864" i="5"/>
  <c r="E1865" i="5"/>
  <c r="E1866" i="5"/>
  <c r="E1867" i="5"/>
  <c r="E1868" i="5"/>
  <c r="E1869" i="5"/>
  <c r="X1869" i="5" s="1"/>
  <c r="E1870" i="5"/>
  <c r="E1871" i="5"/>
  <c r="E1872" i="5"/>
  <c r="E1873" i="5"/>
  <c r="E1874" i="5"/>
  <c r="E1875" i="5"/>
  <c r="E1876" i="5"/>
  <c r="E1877" i="5"/>
  <c r="X1877" i="5" s="1"/>
  <c r="E1878" i="5"/>
  <c r="E1879" i="5"/>
  <c r="E1880" i="5"/>
  <c r="E1881" i="5"/>
  <c r="E1882" i="5"/>
  <c r="E1883" i="5"/>
  <c r="E1884" i="5"/>
  <c r="E1885" i="5"/>
  <c r="X1885" i="5" s="1"/>
  <c r="E1886" i="5"/>
  <c r="E1887" i="5"/>
  <c r="E1888" i="5"/>
  <c r="E1889" i="5"/>
  <c r="E1890" i="5"/>
  <c r="E1891" i="5"/>
  <c r="E1892" i="5"/>
  <c r="E1893" i="5"/>
  <c r="X1893" i="5" s="1"/>
  <c r="E1894" i="5"/>
  <c r="E1895" i="5"/>
  <c r="E1896" i="5"/>
  <c r="E1897" i="5"/>
  <c r="E1898" i="5"/>
  <c r="E1899" i="5"/>
  <c r="E1900" i="5"/>
  <c r="E1901" i="5"/>
  <c r="X1901" i="5" s="1"/>
  <c r="E1902" i="5"/>
  <c r="E1903" i="5"/>
  <c r="E1904" i="5"/>
  <c r="E1905" i="5"/>
  <c r="E1906" i="5"/>
  <c r="E1907" i="5"/>
  <c r="E1908" i="5"/>
  <c r="E1909" i="5"/>
  <c r="X1909" i="5" s="1"/>
  <c r="E1910" i="5"/>
  <c r="E1911" i="5"/>
  <c r="E1912" i="5"/>
  <c r="E1913" i="5"/>
  <c r="E1914" i="5"/>
  <c r="E1915" i="5"/>
  <c r="E1916" i="5"/>
  <c r="E1917" i="5"/>
  <c r="X1917" i="5" s="1"/>
  <c r="E1918" i="5"/>
  <c r="E1919" i="5"/>
  <c r="E1920" i="5"/>
  <c r="E1921" i="5"/>
  <c r="E1922" i="5"/>
  <c r="E1923" i="5"/>
  <c r="E1924" i="5"/>
  <c r="E1925" i="5"/>
  <c r="X1925" i="5" s="1"/>
  <c r="E1926" i="5"/>
  <c r="E1927" i="5"/>
  <c r="E1928" i="5"/>
  <c r="E1929" i="5"/>
  <c r="E1930" i="5"/>
  <c r="E1931" i="5"/>
  <c r="E1932" i="5"/>
  <c r="E1933" i="5"/>
  <c r="X1933" i="5" s="1"/>
  <c r="E1934" i="5"/>
  <c r="E1935" i="5"/>
  <c r="E1936" i="5"/>
  <c r="E1937" i="5"/>
  <c r="E1938" i="5"/>
  <c r="E1939" i="5"/>
  <c r="E1940" i="5"/>
  <c r="E1941" i="5"/>
  <c r="E1942" i="5"/>
  <c r="E1943" i="5"/>
  <c r="E1944" i="5"/>
  <c r="E1945" i="5"/>
  <c r="E1946" i="5"/>
  <c r="E1947" i="5"/>
  <c r="E1948" i="5"/>
  <c r="E1949" i="5"/>
  <c r="X1949" i="5" s="1"/>
  <c r="E1950" i="5"/>
  <c r="E1951" i="5"/>
  <c r="E1952" i="5"/>
  <c r="E1953" i="5"/>
  <c r="E1954" i="5"/>
  <c r="E1955" i="5"/>
  <c r="E1956" i="5"/>
  <c r="E1957" i="5"/>
  <c r="X1957" i="5" s="1"/>
  <c r="E1958" i="5"/>
  <c r="E1959" i="5"/>
  <c r="E1960" i="5"/>
  <c r="E1961" i="5"/>
  <c r="E1962" i="5"/>
  <c r="E1963" i="5"/>
  <c r="E1964" i="5"/>
  <c r="E1965" i="5"/>
  <c r="X1965" i="5" s="1"/>
  <c r="E1966" i="5"/>
  <c r="E1967" i="5"/>
  <c r="E1968" i="5"/>
  <c r="E1969" i="5"/>
  <c r="E1970" i="5"/>
  <c r="E1971" i="5"/>
  <c r="E1972" i="5"/>
  <c r="E1973" i="5"/>
  <c r="X1973" i="5" s="1"/>
  <c r="E1974" i="5"/>
  <c r="E1975" i="5"/>
  <c r="E1976" i="5"/>
  <c r="E1977" i="5"/>
  <c r="E1978" i="5"/>
  <c r="E1979" i="5"/>
  <c r="E1980" i="5"/>
  <c r="E1981" i="5"/>
  <c r="X1981" i="5" s="1"/>
  <c r="E1982" i="5"/>
  <c r="E1983" i="5"/>
  <c r="E1984" i="5"/>
  <c r="E1985" i="5"/>
  <c r="E1986" i="5"/>
  <c r="E1987" i="5"/>
  <c r="E1988" i="5"/>
  <c r="E1989" i="5"/>
  <c r="X1989" i="5" s="1"/>
  <c r="E1990" i="5"/>
  <c r="E1991" i="5"/>
  <c r="E1992" i="5"/>
  <c r="E1993" i="5"/>
  <c r="E1994" i="5"/>
  <c r="E1995" i="5"/>
  <c r="E1996" i="5"/>
  <c r="E1997" i="5"/>
  <c r="X1997" i="5" s="1"/>
  <c r="E1998" i="5"/>
  <c r="E1999" i="5"/>
  <c r="E2000" i="5"/>
  <c r="E2001" i="5"/>
  <c r="E2002" i="5"/>
  <c r="E2003" i="5"/>
  <c r="E2004" i="5"/>
  <c r="E2005" i="5"/>
  <c r="X2005" i="5" s="1"/>
  <c r="E2006" i="5"/>
  <c r="E2007" i="5"/>
  <c r="E2008" i="5"/>
  <c r="E2009" i="5"/>
  <c r="E2010" i="5"/>
  <c r="E2011" i="5"/>
  <c r="E2012" i="5"/>
  <c r="E2013" i="5"/>
  <c r="X2013" i="5" s="1"/>
  <c r="E2014" i="5"/>
  <c r="E2015" i="5"/>
  <c r="E2016" i="5"/>
  <c r="E2017" i="5"/>
  <c r="E2018" i="5"/>
  <c r="E2019" i="5"/>
  <c r="E2020" i="5"/>
  <c r="E2021" i="5"/>
  <c r="X2021" i="5" s="1"/>
  <c r="E2022" i="5"/>
  <c r="E2023" i="5"/>
  <c r="E2024" i="5"/>
  <c r="E2025" i="5"/>
  <c r="E2026" i="5"/>
  <c r="E2027" i="5"/>
  <c r="E2028" i="5"/>
  <c r="E2029" i="5"/>
  <c r="X2029" i="5" s="1"/>
  <c r="E2030" i="5"/>
  <c r="E2031" i="5"/>
  <c r="E2032" i="5"/>
  <c r="E2033" i="5"/>
  <c r="E2034" i="5"/>
  <c r="E2035" i="5"/>
  <c r="E2036" i="5"/>
  <c r="E2037" i="5"/>
  <c r="X2037" i="5" s="1"/>
  <c r="E2038" i="5"/>
  <c r="E2039" i="5"/>
  <c r="E2040" i="5"/>
  <c r="E2041" i="5"/>
  <c r="E2042" i="5"/>
  <c r="E2043" i="5"/>
  <c r="E2044" i="5"/>
  <c r="E2045" i="5"/>
  <c r="E2046" i="5"/>
  <c r="E2047" i="5"/>
  <c r="E2048" i="5"/>
  <c r="E2049" i="5"/>
  <c r="E2050" i="5"/>
  <c r="E2051" i="5"/>
  <c r="E2052" i="5"/>
  <c r="E2053" i="5"/>
  <c r="X2053" i="5" s="1"/>
  <c r="E2054" i="5"/>
  <c r="E2055" i="5"/>
  <c r="E2056" i="5"/>
  <c r="E2057" i="5"/>
  <c r="E2058" i="5"/>
  <c r="E2059" i="5"/>
  <c r="E2060" i="5"/>
  <c r="E2061" i="5"/>
  <c r="X2061" i="5" s="1"/>
  <c r="E2062" i="5"/>
  <c r="E2063" i="5"/>
  <c r="E2064" i="5"/>
  <c r="E2065" i="5"/>
  <c r="E2066" i="5"/>
  <c r="E2067" i="5"/>
  <c r="E2068" i="5"/>
  <c r="E2069" i="5"/>
  <c r="X2069" i="5" s="1"/>
  <c r="E2070" i="5"/>
  <c r="E2071" i="5"/>
  <c r="E2072" i="5"/>
  <c r="E2073" i="5"/>
  <c r="E2074" i="5"/>
  <c r="E2075" i="5"/>
  <c r="E2076" i="5"/>
  <c r="E2077" i="5"/>
  <c r="X2077" i="5" s="1"/>
  <c r="E2078" i="5"/>
  <c r="E2079" i="5"/>
  <c r="E2080" i="5"/>
  <c r="E2081" i="5"/>
  <c r="E2082" i="5"/>
  <c r="E2083" i="5"/>
  <c r="E2084" i="5"/>
  <c r="E2085" i="5"/>
  <c r="X2085" i="5" s="1"/>
  <c r="E2086" i="5"/>
  <c r="E2087" i="5"/>
  <c r="E2088" i="5"/>
  <c r="E2089" i="5"/>
  <c r="E2090" i="5"/>
  <c r="E2091" i="5"/>
  <c r="E2092" i="5"/>
  <c r="E2093" i="5"/>
  <c r="X2093" i="5" s="1"/>
  <c r="E2094" i="5"/>
  <c r="E2095" i="5"/>
  <c r="E2096" i="5"/>
  <c r="E2097" i="5"/>
  <c r="E2098" i="5"/>
  <c r="E2099" i="5"/>
  <c r="E2100" i="5"/>
  <c r="E2101" i="5"/>
  <c r="X2101" i="5" s="1"/>
  <c r="E2102" i="5"/>
  <c r="E2103" i="5"/>
  <c r="E2104" i="5"/>
  <c r="E2105" i="5"/>
  <c r="E2106" i="5"/>
  <c r="E2107" i="5"/>
  <c r="E2108" i="5"/>
  <c r="E2109" i="5"/>
  <c r="X2109" i="5" s="1"/>
  <c r="E2110" i="5"/>
  <c r="E2111" i="5"/>
  <c r="E2112" i="5"/>
  <c r="E2113" i="5"/>
  <c r="E2114" i="5"/>
  <c r="E2115" i="5"/>
  <c r="E2116" i="5"/>
  <c r="E2117" i="5"/>
  <c r="X2117" i="5" s="1"/>
  <c r="E2118" i="5"/>
  <c r="E2119" i="5"/>
  <c r="E2120" i="5"/>
  <c r="E2121" i="5"/>
  <c r="E2122" i="5"/>
  <c r="E2123" i="5"/>
  <c r="E2124" i="5"/>
  <c r="E2125" i="5"/>
  <c r="X2125" i="5" s="1"/>
  <c r="E2126" i="5"/>
  <c r="E2127" i="5"/>
  <c r="E2128" i="5"/>
  <c r="E2129" i="5"/>
  <c r="E2130" i="5"/>
  <c r="E2131" i="5"/>
  <c r="E2132" i="5"/>
  <c r="E2133" i="5"/>
  <c r="X2133" i="5" s="1"/>
  <c r="E2134" i="5"/>
  <c r="E2135" i="5"/>
  <c r="E2136" i="5"/>
  <c r="E2137" i="5"/>
  <c r="E2138" i="5"/>
  <c r="E2139" i="5"/>
  <c r="E2140" i="5"/>
  <c r="E2141" i="5"/>
  <c r="X2141" i="5" s="1"/>
  <c r="E2142" i="5"/>
  <c r="E2143" i="5"/>
  <c r="E2144" i="5"/>
  <c r="E2145" i="5"/>
  <c r="E2146" i="5"/>
  <c r="E2147" i="5"/>
  <c r="E2148" i="5"/>
  <c r="E2149" i="5"/>
  <c r="X2149" i="5" s="1"/>
  <c r="E2150" i="5"/>
  <c r="E2151" i="5"/>
  <c r="E2152" i="5"/>
  <c r="E2153" i="5"/>
  <c r="E2154" i="5"/>
  <c r="E2155" i="5"/>
  <c r="E2156" i="5"/>
  <c r="E2157" i="5"/>
  <c r="X2157" i="5" s="1"/>
  <c r="E2158" i="5"/>
  <c r="E2159" i="5"/>
  <c r="E2160" i="5"/>
  <c r="E2161" i="5"/>
  <c r="E2162" i="5"/>
  <c r="E2163" i="5"/>
  <c r="E2164" i="5"/>
  <c r="E2165" i="5"/>
  <c r="X2165" i="5" s="1"/>
  <c r="E2166" i="5"/>
  <c r="E2167" i="5"/>
  <c r="E2168" i="5"/>
  <c r="E2169" i="5"/>
  <c r="E2170" i="5"/>
  <c r="E2171" i="5"/>
  <c r="E2172" i="5"/>
  <c r="E2173" i="5"/>
  <c r="X2173" i="5" s="1"/>
  <c r="E2174" i="5"/>
  <c r="E2175" i="5"/>
  <c r="E2176" i="5"/>
  <c r="E2177" i="5"/>
  <c r="E2178" i="5"/>
  <c r="E2179" i="5"/>
  <c r="E2180" i="5"/>
  <c r="E2181" i="5"/>
  <c r="X2181" i="5" s="1"/>
  <c r="E2182" i="5"/>
  <c r="E2183" i="5"/>
  <c r="E2184" i="5"/>
  <c r="E2185" i="5"/>
  <c r="E2186" i="5"/>
  <c r="E2187" i="5"/>
  <c r="E2188" i="5"/>
  <c r="E2189" i="5"/>
  <c r="X2189" i="5" s="1"/>
  <c r="E2190" i="5"/>
  <c r="E2191" i="5"/>
  <c r="E2192" i="5"/>
  <c r="E2193" i="5"/>
  <c r="E2194" i="5"/>
  <c r="E2195" i="5"/>
  <c r="E2196" i="5"/>
  <c r="E2197" i="5"/>
  <c r="X2197" i="5" s="1"/>
  <c r="E2198" i="5"/>
  <c r="E2199" i="5"/>
  <c r="E2200" i="5"/>
  <c r="E2201" i="5"/>
  <c r="E2202" i="5"/>
  <c r="E2203" i="5"/>
  <c r="E2204" i="5"/>
  <c r="E2205" i="5"/>
  <c r="X2205" i="5" s="1"/>
  <c r="E2206" i="5"/>
  <c r="E2207" i="5"/>
  <c r="E2208" i="5"/>
  <c r="E2209" i="5"/>
  <c r="E2210" i="5"/>
  <c r="E2211" i="5"/>
  <c r="E2212" i="5"/>
  <c r="E2213" i="5"/>
  <c r="X2213" i="5" s="1"/>
  <c r="E2214" i="5"/>
  <c r="E2215" i="5"/>
  <c r="E2216" i="5"/>
  <c r="E2217" i="5"/>
  <c r="E2218" i="5"/>
  <c r="E2219" i="5"/>
  <c r="E2220" i="5"/>
  <c r="E2221" i="5"/>
  <c r="X2221" i="5" s="1"/>
  <c r="E2222" i="5"/>
  <c r="E2223" i="5"/>
  <c r="E2224" i="5"/>
  <c r="E2225" i="5"/>
  <c r="E2226" i="5"/>
  <c r="E2227" i="5"/>
  <c r="E2228" i="5"/>
  <c r="E2229" i="5"/>
  <c r="X2229" i="5" s="1"/>
  <c r="E2230" i="5"/>
  <c r="E2231" i="5"/>
  <c r="E2232" i="5"/>
  <c r="E2233" i="5"/>
  <c r="E2234" i="5"/>
  <c r="E2235" i="5"/>
  <c r="E2236" i="5"/>
  <c r="E2237" i="5"/>
  <c r="X2237" i="5" s="1"/>
  <c r="E2238" i="5"/>
  <c r="E2239" i="5"/>
  <c r="E2240" i="5"/>
  <c r="E2241" i="5"/>
  <c r="E2242" i="5"/>
  <c r="E2243" i="5"/>
  <c r="E2244" i="5"/>
  <c r="E2245" i="5"/>
  <c r="X2245" i="5" s="1"/>
  <c r="E2246" i="5"/>
  <c r="E2247" i="5"/>
  <c r="E2248" i="5"/>
  <c r="E2249" i="5"/>
  <c r="E2250" i="5"/>
  <c r="E2251" i="5"/>
  <c r="E2252" i="5"/>
  <c r="E2253" i="5"/>
  <c r="X2253" i="5" s="1"/>
  <c r="E2254" i="5"/>
  <c r="E2255" i="5"/>
  <c r="E2256" i="5"/>
  <c r="E2257" i="5"/>
  <c r="E2258" i="5"/>
  <c r="E2259" i="5"/>
  <c r="E2260" i="5"/>
  <c r="E2261" i="5"/>
  <c r="E2262" i="5"/>
  <c r="E2263" i="5"/>
  <c r="E2264" i="5"/>
  <c r="E2265" i="5"/>
  <c r="E2266" i="5"/>
  <c r="E2267" i="5"/>
  <c r="E2268" i="5"/>
  <c r="E2269" i="5"/>
  <c r="X2269" i="5" s="1"/>
  <c r="E2270" i="5"/>
  <c r="E2271" i="5"/>
  <c r="E2272" i="5"/>
  <c r="E2273" i="5"/>
  <c r="E2274" i="5"/>
  <c r="E2275" i="5"/>
  <c r="E2276" i="5"/>
  <c r="E2277" i="5"/>
  <c r="X2277" i="5" s="1"/>
  <c r="E2278" i="5"/>
  <c r="E2279" i="5"/>
  <c r="E2280" i="5"/>
  <c r="E2281" i="5"/>
  <c r="E2282" i="5"/>
  <c r="E2283" i="5"/>
  <c r="E2284" i="5"/>
  <c r="E2285" i="5"/>
  <c r="X2285" i="5" s="1"/>
  <c r="E2286" i="5"/>
  <c r="E2287" i="5"/>
  <c r="E2288" i="5"/>
  <c r="E2289" i="5"/>
  <c r="E2290" i="5"/>
  <c r="E2291" i="5"/>
  <c r="E2292" i="5"/>
  <c r="E2293" i="5"/>
  <c r="X2293" i="5" s="1"/>
  <c r="E2294" i="5"/>
  <c r="E2295" i="5"/>
  <c r="E2296" i="5"/>
  <c r="E2297" i="5"/>
  <c r="E2298" i="5"/>
  <c r="E2299" i="5"/>
  <c r="E2300" i="5"/>
  <c r="E2301" i="5"/>
  <c r="E2302" i="5"/>
  <c r="E2303" i="5"/>
  <c r="E2304" i="5"/>
  <c r="E2305" i="5"/>
  <c r="E2306" i="5"/>
  <c r="E2307" i="5"/>
  <c r="E2308" i="5"/>
  <c r="E2309" i="5"/>
  <c r="X2309" i="5" s="1"/>
  <c r="E2310" i="5"/>
  <c r="E2311" i="5"/>
  <c r="E2312" i="5"/>
  <c r="E2313" i="5"/>
  <c r="E2314" i="5"/>
  <c r="E2315" i="5"/>
  <c r="E2316" i="5"/>
  <c r="E2317" i="5"/>
  <c r="E2318" i="5"/>
  <c r="E2319" i="5"/>
  <c r="E2320" i="5"/>
  <c r="E2321" i="5"/>
  <c r="E2322" i="5"/>
  <c r="E2323" i="5"/>
  <c r="E2324" i="5"/>
  <c r="E2325" i="5"/>
  <c r="X2325" i="5" s="1"/>
  <c r="E2326" i="5"/>
  <c r="E2327" i="5"/>
  <c r="E2328" i="5"/>
  <c r="E2329" i="5"/>
  <c r="E2330" i="5"/>
  <c r="E2331" i="5"/>
  <c r="E2332" i="5"/>
  <c r="E2333" i="5"/>
  <c r="X2333" i="5" s="1"/>
  <c r="E2334" i="5"/>
  <c r="E2335" i="5"/>
  <c r="E2336" i="5"/>
  <c r="E2337" i="5"/>
  <c r="E2338" i="5"/>
  <c r="E2339" i="5"/>
  <c r="E2340" i="5"/>
  <c r="E2341" i="5"/>
  <c r="X2341" i="5" s="1"/>
  <c r="E2342" i="5"/>
  <c r="E2343" i="5"/>
  <c r="E2344" i="5"/>
  <c r="E2345" i="5"/>
  <c r="E2346" i="5"/>
  <c r="E2347" i="5"/>
  <c r="E2348" i="5"/>
  <c r="E2349" i="5"/>
  <c r="X2349" i="5" s="1"/>
  <c r="E2350" i="5"/>
  <c r="E2351" i="5"/>
  <c r="E2352" i="5"/>
  <c r="E2353" i="5"/>
  <c r="E2354" i="5"/>
  <c r="E2355" i="5"/>
  <c r="E2356" i="5"/>
  <c r="E2357" i="5"/>
  <c r="X2357" i="5" s="1"/>
  <c r="E2358" i="5"/>
  <c r="E2359" i="5"/>
  <c r="E2360" i="5"/>
  <c r="E2361" i="5"/>
  <c r="E2362" i="5"/>
  <c r="E2363" i="5"/>
  <c r="E2364" i="5"/>
  <c r="E2365" i="5"/>
  <c r="X2365" i="5" s="1"/>
  <c r="E2366" i="5"/>
  <c r="E2367" i="5"/>
  <c r="E2368" i="5"/>
  <c r="E2369" i="5"/>
  <c r="E2370" i="5"/>
  <c r="E2371" i="5"/>
  <c r="E2372" i="5"/>
  <c r="E2373" i="5"/>
  <c r="X2373" i="5" s="1"/>
  <c r="E2374" i="5"/>
  <c r="E2375" i="5"/>
  <c r="E2376" i="5"/>
  <c r="E2377" i="5"/>
  <c r="E2378" i="5"/>
  <c r="E2379" i="5"/>
  <c r="E2380" i="5"/>
  <c r="E2381" i="5"/>
  <c r="X2381" i="5" s="1"/>
  <c r="E2382" i="5"/>
  <c r="E2383" i="5"/>
  <c r="E2384" i="5"/>
  <c r="E2385" i="5"/>
  <c r="E2386" i="5"/>
  <c r="E2387" i="5"/>
  <c r="E2388" i="5"/>
  <c r="E2389" i="5"/>
  <c r="X2389" i="5" s="1"/>
  <c r="E2390" i="5"/>
  <c r="E2391" i="5"/>
  <c r="E2392" i="5"/>
  <c r="E2393" i="5"/>
  <c r="E2394" i="5"/>
  <c r="E2395" i="5"/>
  <c r="E2396" i="5"/>
  <c r="E2397" i="5"/>
  <c r="X2397" i="5" s="1"/>
  <c r="E2398" i="5"/>
  <c r="E2399" i="5"/>
  <c r="E2400" i="5"/>
  <c r="E2401" i="5"/>
  <c r="E2402" i="5"/>
  <c r="E2403" i="5"/>
  <c r="E2404" i="5"/>
  <c r="E2405" i="5"/>
  <c r="X2405" i="5" s="1"/>
  <c r="E2406" i="5"/>
  <c r="E2407" i="5"/>
  <c r="E2408" i="5"/>
  <c r="E2409" i="5"/>
  <c r="E2410" i="5"/>
  <c r="E2411" i="5"/>
  <c r="E2412" i="5"/>
  <c r="E2413" i="5"/>
  <c r="X2413" i="5" s="1"/>
  <c r="E2414" i="5"/>
  <c r="E2415" i="5"/>
  <c r="E2416" i="5"/>
  <c r="E2417" i="5"/>
  <c r="E2418" i="5"/>
  <c r="E2419" i="5"/>
  <c r="E2420" i="5"/>
  <c r="E2421" i="5"/>
  <c r="X2421" i="5" s="1"/>
  <c r="E2422" i="5"/>
  <c r="E2423" i="5"/>
  <c r="E2424" i="5"/>
  <c r="E2425" i="5"/>
  <c r="E2426" i="5"/>
  <c r="E2427" i="5"/>
  <c r="E2428" i="5"/>
  <c r="E2429" i="5"/>
  <c r="X2429" i="5" s="1"/>
  <c r="E2430" i="5"/>
  <c r="E2431" i="5"/>
  <c r="E2432" i="5"/>
  <c r="E2433" i="5"/>
  <c r="E2434" i="5"/>
  <c r="E2435" i="5"/>
  <c r="E2436" i="5"/>
  <c r="E2437" i="5"/>
  <c r="X2437" i="5" s="1"/>
  <c r="E2438" i="5"/>
  <c r="E2439" i="5"/>
  <c r="E2440" i="5"/>
  <c r="E2441" i="5"/>
  <c r="E2442" i="5"/>
  <c r="E2443" i="5"/>
  <c r="E2444" i="5"/>
  <c r="E2445" i="5"/>
  <c r="X2445" i="5" s="1"/>
  <c r="E2446" i="5"/>
  <c r="E2447" i="5"/>
  <c r="E2448" i="5"/>
  <c r="E2449" i="5"/>
  <c r="E2450" i="5"/>
  <c r="X2450" i="5" s="1"/>
  <c r="E2451" i="5"/>
  <c r="E2452" i="5"/>
  <c r="E2453" i="5"/>
  <c r="X2453" i="5" s="1"/>
  <c r="E2454" i="5"/>
  <c r="E2455" i="5"/>
  <c r="E2456" i="5"/>
  <c r="E2457" i="5"/>
  <c r="E2458" i="5"/>
  <c r="E2459" i="5"/>
  <c r="E2460" i="5"/>
  <c r="E2461" i="5"/>
  <c r="X2461" i="5" s="1"/>
  <c r="E2462" i="5"/>
  <c r="E2463" i="5"/>
  <c r="E2464" i="5"/>
  <c r="E2465" i="5"/>
  <c r="E2466" i="5"/>
  <c r="E2467" i="5"/>
  <c r="E2468" i="5"/>
  <c r="E2469" i="5"/>
  <c r="X2469" i="5" s="1"/>
  <c r="E2470" i="5"/>
  <c r="E2471" i="5"/>
  <c r="E2472" i="5"/>
  <c r="E2473" i="5"/>
  <c r="E2474" i="5"/>
  <c r="E2475" i="5"/>
  <c r="E2476" i="5"/>
  <c r="E2477" i="5"/>
  <c r="X2477" i="5" s="1"/>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V6" i="5"/>
  <c r="E6" i="5" s="1"/>
  <c r="X6" i="5" s="1"/>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G7" i="5" s="1"/>
  <c r="V8" i="5"/>
  <c r="G8" i="5" s="1"/>
  <c r="V9" i="5"/>
  <c r="G9" i="5" s="1"/>
  <c r="V10" i="5"/>
  <c r="E10" i="5" s="1"/>
  <c r="X10" i="5" s="1"/>
  <c r="V11" i="5"/>
  <c r="G11" i="5" s="1"/>
  <c r="V12" i="5"/>
  <c r="G12" i="5" s="1"/>
  <c r="V13" i="5"/>
  <c r="G13" i="5" s="1"/>
  <c r="V14" i="5"/>
  <c r="E14" i="5" s="1"/>
  <c r="X14" i="5" s="1"/>
  <c r="V15" i="5"/>
  <c r="G15" i="5" s="1"/>
  <c r="V16" i="5"/>
  <c r="G16" i="5" s="1"/>
  <c r="V17" i="5"/>
  <c r="G17" i="5" s="1"/>
  <c r="V18" i="5"/>
  <c r="E18" i="5" s="1"/>
  <c r="X18" i="5" s="1"/>
  <c r="V19" i="5"/>
  <c r="G19" i="5" s="1"/>
  <c r="V20" i="5"/>
  <c r="G20" i="5" s="1"/>
  <c r="V21" i="5"/>
  <c r="H21" i="5" s="1"/>
  <c r="V22" i="5"/>
  <c r="E22" i="5" s="1"/>
  <c r="X22" i="5" s="1"/>
  <c r="V23" i="5"/>
  <c r="G23" i="5" s="1"/>
  <c r="V24" i="5"/>
  <c r="G24" i="5" s="1"/>
  <c r="V25" i="5"/>
  <c r="G25" i="5" s="1"/>
  <c r="V26" i="5"/>
  <c r="E26" i="5" s="1"/>
  <c r="X26" i="5" s="1"/>
  <c r="V27" i="5"/>
  <c r="R27" i="5" s="1"/>
  <c r="V28" i="5"/>
  <c r="G28" i="5" s="1"/>
  <c r="V29" i="5"/>
  <c r="I29" i="5" s="1"/>
  <c r="V30" i="5"/>
  <c r="E30" i="5" s="1"/>
  <c r="X30" i="5" s="1"/>
  <c r="V31" i="5"/>
  <c r="G31" i="5" s="1"/>
  <c r="V32" i="5"/>
  <c r="G32" i="5" s="1"/>
  <c r="V33" i="5"/>
  <c r="R33" i="5" s="1"/>
  <c r="V34" i="5"/>
  <c r="E34" i="5" s="1"/>
  <c r="X34" i="5" s="1"/>
  <c r="V35" i="5"/>
  <c r="G35" i="5" s="1"/>
  <c r="V36" i="5"/>
  <c r="G36" i="5" s="1"/>
  <c r="V37" i="5"/>
  <c r="J37" i="5" s="1"/>
  <c r="V38" i="5"/>
  <c r="E38" i="5" s="1"/>
  <c r="X38" i="5" s="1"/>
  <c r="V39" i="5"/>
  <c r="G39" i="5" s="1"/>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9" i="6" s="1"/>
  <c r="H9" i="6" s="1"/>
  <c r="D9" i="6" s="1"/>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c r="B57" i="6"/>
  <c r="G57" i="6" s="1"/>
  <c r="B56" i="6"/>
  <c r="G56" i="6"/>
  <c r="B55" i="6"/>
  <c r="G55" i="6" s="1"/>
  <c r="B54" i="6"/>
  <c r="G54" i="6"/>
  <c r="B17" i="6"/>
  <c r="B16" i="6"/>
  <c r="B15" i="6"/>
  <c r="B14" i="6"/>
  <c r="G14" i="6" s="1"/>
  <c r="H14" i="6" s="1"/>
  <c r="H13" i="6"/>
  <c r="B12" i="6"/>
  <c r="G12" i="6" s="1"/>
  <c r="H12" i="6" s="1"/>
  <c r="D12" i="6" s="1"/>
  <c r="B11" i="6"/>
  <c r="G11" i="6"/>
  <c r="H11" i="6" s="1"/>
  <c r="D11" i="6" s="1"/>
  <c r="G10" i="6"/>
  <c r="H10" i="6" s="1"/>
  <c r="D10" i="6" s="1"/>
  <c r="B8" i="6"/>
  <c r="G8" i="6" s="1"/>
  <c r="H8" i="6" s="1"/>
  <c r="D8" i="6" s="1"/>
  <c r="B7" i="6"/>
  <c r="G7" i="6"/>
  <c r="H7" i="6"/>
  <c r="D7" i="6" s="1"/>
  <c r="B6" i="6"/>
  <c r="G6" i="6" s="1"/>
  <c r="B5" i="6"/>
  <c r="F6" i="6"/>
  <c r="B4" i="6"/>
  <c r="G4" i="6"/>
  <c r="H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R263" i="5"/>
  <c r="X257"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R36" i="5"/>
  <c r="R34" i="5"/>
  <c r="R32" i="5"/>
  <c r="H29" i="5"/>
  <c r="I26" i="5"/>
  <c r="R24" i="5"/>
  <c r="R20" i="5"/>
  <c r="AB18" i="5"/>
  <c r="I18" i="5"/>
  <c r="R6" i="5"/>
  <c r="AB6" i="5"/>
  <c r="H5" i="5"/>
  <c r="B90" i="4"/>
  <c r="H67" i="4"/>
  <c r="P47" i="4"/>
  <c r="P46" i="4"/>
  <c r="P45" i="4"/>
  <c r="P44" i="4"/>
  <c r="P43" i="4"/>
  <c r="Q43" i="4" s="1"/>
  <c r="P41" i="4"/>
  <c r="P40" i="4"/>
  <c r="P39" i="4"/>
  <c r="B39" i="4" s="1"/>
  <c r="P38" i="4"/>
  <c r="P37" i="4"/>
  <c r="Q37" i="4" s="1"/>
  <c r="P35" i="4"/>
  <c r="P34" i="4"/>
  <c r="P33" i="4"/>
  <c r="P32" i="4"/>
  <c r="P31" i="4"/>
  <c r="Q31" i="4" s="1"/>
  <c r="P29" i="4"/>
  <c r="B29" i="4" s="1"/>
  <c r="A17" i="6" s="1"/>
  <c r="P28" i="4"/>
  <c r="P27" i="4"/>
  <c r="P26" i="4"/>
  <c r="B26" i="4" s="1"/>
  <c r="A14" i="6" s="1"/>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F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X1953"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AB1831" i="5"/>
  <c r="S1834" i="5"/>
  <c r="AB1864" i="5"/>
  <c r="R1890" i="5"/>
  <c r="S2018" i="5"/>
  <c r="S2031" i="5"/>
  <c r="T2035" i="5"/>
  <c r="S2035" i="5"/>
  <c r="I2245" i="5"/>
  <c r="R2245" i="5"/>
  <c r="J2245" i="5"/>
  <c r="H2245" i="5"/>
  <c r="F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X73" i="5"/>
  <c r="I73" i="5"/>
  <c r="F109" i="5"/>
  <c r="R109" i="5"/>
  <c r="R133" i="5"/>
  <c r="F133" i="5"/>
  <c r="F169" i="5"/>
  <c r="R169" i="5"/>
  <c r="X169" i="5"/>
  <c r="H195" i="5"/>
  <c r="F195" i="5"/>
  <c r="X195" i="5"/>
  <c r="R195" i="5"/>
  <c r="I195" i="5"/>
  <c r="J195" i="5"/>
  <c r="H67" i="5"/>
  <c r="R67" i="5"/>
  <c r="J67" i="5"/>
  <c r="X67" i="5"/>
  <c r="I67" i="5"/>
  <c r="F67" i="5"/>
  <c r="H19" i="5"/>
  <c r="R19" i="5"/>
  <c r="J19" i="5"/>
  <c r="H35" i="5"/>
  <c r="R35" i="5"/>
  <c r="J35" i="5"/>
  <c r="I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J27" i="5"/>
  <c r="H83" i="5"/>
  <c r="R83" i="5"/>
  <c r="J83" i="5"/>
  <c r="I83" i="5"/>
  <c r="F83" i="5"/>
  <c r="X83" i="5"/>
  <c r="H51" i="5"/>
  <c r="R51" i="5"/>
  <c r="J51" i="5"/>
  <c r="X51" i="5"/>
  <c r="I51" i="5"/>
  <c r="F51" i="5"/>
  <c r="R77" i="5"/>
  <c r="I77" i="5"/>
  <c r="R89" i="5"/>
  <c r="X89" i="5"/>
  <c r="I89" i="5"/>
  <c r="X129" i="5"/>
  <c r="F129" i="5"/>
  <c r="H199" i="5"/>
  <c r="R199" i="5"/>
  <c r="J199" i="5"/>
  <c r="I199" i="5"/>
  <c r="F199" i="5"/>
  <c r="X199" i="5"/>
  <c r="H131" i="5"/>
  <c r="F131" i="5"/>
  <c r="X131" i="5"/>
  <c r="I131" i="5"/>
  <c r="R131" i="5"/>
  <c r="J131" i="5"/>
  <c r="R57" i="5"/>
  <c r="X57" i="5"/>
  <c r="I57" i="5"/>
  <c r="F105" i="5"/>
  <c r="R105" i="5"/>
  <c r="X105" i="5"/>
  <c r="H119" i="5"/>
  <c r="F119" i="5"/>
  <c r="I119" i="5"/>
  <c r="X119" i="5"/>
  <c r="R119" i="5"/>
  <c r="J119" i="5"/>
  <c r="R197" i="5"/>
  <c r="F197" i="5"/>
  <c r="H223" i="5"/>
  <c r="R223" i="5"/>
  <c r="J223" i="5"/>
  <c r="F223" i="5"/>
  <c r="I223" i="5"/>
  <c r="X223" i="5"/>
  <c r="R229" i="5"/>
  <c r="F229" i="5"/>
  <c r="R337" i="5"/>
  <c r="J337" i="5"/>
  <c r="H337" i="5"/>
  <c r="F337" i="5"/>
  <c r="X337" i="5"/>
  <c r="J31" i="5"/>
  <c r="I31" i="5"/>
  <c r="F31" i="5"/>
  <c r="F113" i="5"/>
  <c r="X113" i="5"/>
  <c r="R113" i="5"/>
  <c r="H155" i="5"/>
  <c r="R155" i="5"/>
  <c r="J155" i="5"/>
  <c r="I155" i="5"/>
  <c r="X155" i="5"/>
  <c r="F155" i="5"/>
  <c r="H203" i="5"/>
  <c r="R203" i="5"/>
  <c r="J203" i="5"/>
  <c r="I203" i="5"/>
  <c r="X203" i="5"/>
  <c r="F203" i="5"/>
  <c r="R249" i="5"/>
  <c r="F24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I381" i="5"/>
  <c r="J381" i="5"/>
  <c r="H381" i="5"/>
  <c r="F381" i="5"/>
  <c r="X408" i="5"/>
  <c r="I408" i="5"/>
  <c r="H408" i="5"/>
  <c r="F408" i="5"/>
  <c r="I425" i="5"/>
  <c r="J425" i="5"/>
  <c r="H425" i="5"/>
  <c r="F425" i="5"/>
  <c r="X425" i="5"/>
  <c r="R58" i="5"/>
  <c r="J25" i="5"/>
  <c r="AB26" i="5"/>
  <c r="I46" i="5"/>
  <c r="AB22" i="5"/>
  <c r="F23" i="5"/>
  <c r="I24"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I34" i="5"/>
  <c r="X49" i="5"/>
  <c r="I50" i="5"/>
  <c r="X65" i="5"/>
  <c r="I66" i="5"/>
  <c r="X81" i="5"/>
  <c r="I82" i="5"/>
  <c r="I2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F436" i="5"/>
  <c r="F456" i="5"/>
  <c r="X511" i="5"/>
  <c r="H511" i="5"/>
  <c r="H523" i="5"/>
  <c r="X523" i="5"/>
  <c r="F523" i="5"/>
  <c r="R566" i="5"/>
  <c r="F566" i="5"/>
  <c r="J638" i="5"/>
  <c r="R638" i="5"/>
  <c r="F638" i="5"/>
  <c r="I726" i="5"/>
  <c r="F726" i="5"/>
  <c r="X726" i="5"/>
  <c r="I742" i="5"/>
  <c r="F742" i="5"/>
  <c r="X742" i="5"/>
  <c r="AB322" i="5"/>
  <c r="J23" i="5"/>
  <c r="AB32" i="5"/>
  <c r="J39" i="5"/>
  <c r="X53"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X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X2443" i="5"/>
  <c r="H2492" i="5"/>
  <c r="AB2112" i="5"/>
  <c r="J2150" i="5"/>
  <c r="T2161" i="5"/>
  <c r="T2173" i="5"/>
  <c r="T2181" i="5"/>
  <c r="AB2185" i="5"/>
  <c r="T2187" i="5"/>
  <c r="AB2197" i="5"/>
  <c r="AB2200" i="5"/>
  <c r="AB2213" i="5"/>
  <c r="AB2216"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72" i="5"/>
  <c r="X2380" i="5"/>
  <c r="AB2387" i="5"/>
  <c r="AB2396" i="5"/>
  <c r="T2401" i="5"/>
  <c r="S2403" i="5"/>
  <c r="AB2414" i="5"/>
  <c r="AB2425" i="5"/>
  <c r="J2433" i="5"/>
  <c r="AB2436" i="5"/>
  <c r="S2456" i="5"/>
  <c r="AB2457" i="5"/>
  <c r="S2458" i="5"/>
  <c r="I2469" i="5"/>
  <c r="S2471" i="5"/>
  <c r="AB2472" i="5"/>
  <c r="T2484" i="5"/>
  <c r="AB2504" i="5"/>
  <c r="J5" i="5"/>
  <c r="X304" i="5"/>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H30" i="5"/>
  <c r="F34" i="5"/>
  <c r="J34" i="5"/>
  <c r="AB34" i="5"/>
  <c r="I36"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F5" i="5"/>
  <c r="H18"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R23" i="5"/>
  <c r="H24" i="5"/>
  <c r="R26" i="5"/>
  <c r="F27" i="5"/>
  <c r="R31" i="5"/>
  <c r="H32"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T869" i="5"/>
  <c r="S869" i="5"/>
  <c r="AB897" i="5"/>
  <c r="AB908" i="5"/>
  <c r="I915" i="5"/>
  <c r="AB918" i="5"/>
  <c r="I925" i="5"/>
  <c r="J925" i="5"/>
  <c r="H925" i="5"/>
  <c r="F925" i="5"/>
  <c r="R925" i="5"/>
  <c r="I961" i="5"/>
  <c r="H961" i="5"/>
  <c r="X961" i="5"/>
  <c r="J961" i="5"/>
  <c r="F961" i="5"/>
  <c r="R961" i="5"/>
  <c r="AB1029" i="5"/>
  <c r="T1029" i="5"/>
  <c r="S1029" i="5"/>
  <c r="J1069" i="5"/>
  <c r="I1069" i="5"/>
  <c r="H1069" i="5"/>
  <c r="F1069" i="5"/>
  <c r="R1069" i="5"/>
  <c r="AB1109" i="5"/>
  <c r="T1109" i="5"/>
  <c r="S1109" i="5"/>
  <c r="I816" i="5"/>
  <c r="H819" i="5"/>
  <c r="F821" i="5"/>
  <c r="R821" i="5"/>
  <c r="I821" i="5"/>
  <c r="H830" i="5"/>
  <c r="X830" i="5"/>
  <c r="R830" i="5"/>
  <c r="I857" i="5"/>
  <c r="X857" i="5"/>
  <c r="R857" i="5"/>
  <c r="H857" i="5"/>
  <c r="AB859" i="5"/>
  <c r="AB863" i="5"/>
  <c r="AB871" i="5"/>
  <c r="I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I901" i="5"/>
  <c r="I917" i="5"/>
  <c r="I933" i="5"/>
  <c r="T945" i="5"/>
  <c r="S945" i="5"/>
  <c r="I953" i="5"/>
  <c r="H953" i="5"/>
  <c r="X953" i="5"/>
  <c r="R954" i="5"/>
  <c r="J954" i="5"/>
  <c r="I954" i="5"/>
  <c r="X955" i="5"/>
  <c r="R955" i="5"/>
  <c r="I955" i="5"/>
  <c r="J955" i="5"/>
  <c r="X998"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X1093" i="5"/>
  <c r="R1094" i="5"/>
  <c r="J1094" i="5"/>
  <c r="I1094" i="5"/>
  <c r="X1098" i="5"/>
  <c r="J1109" i="5"/>
  <c r="I1109" i="5"/>
  <c r="H1109" i="5"/>
  <c r="X1109" i="5"/>
  <c r="R1110" i="5"/>
  <c r="J1125" i="5"/>
  <c r="I1125" i="5"/>
  <c r="H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F1509" i="5"/>
  <c r="AB1532" i="5"/>
  <c r="T1532" i="5"/>
  <c r="S1532" i="5"/>
  <c r="S1142" i="5"/>
  <c r="AB1167" i="5"/>
  <c r="T1167" i="5"/>
  <c r="F1186" i="5"/>
  <c r="X1186" i="5"/>
  <c r="AB1186" i="5"/>
  <c r="AB1199" i="5"/>
  <c r="T1199" i="5"/>
  <c r="F1218" i="5"/>
  <c r="X1218" i="5"/>
  <c r="AB1218" i="5"/>
  <c r="AB1231" i="5"/>
  <c r="T1231" i="5"/>
  <c r="F1250" i="5"/>
  <c r="X1250" i="5"/>
  <c r="AB1250" i="5"/>
  <c r="X1257" i="5"/>
  <c r="R1257" i="5"/>
  <c r="R1261" i="5"/>
  <c r="X1265" i="5"/>
  <c r="R1265" i="5"/>
  <c r="R1269" i="5"/>
  <c r="X1273" i="5"/>
  <c r="R1273" i="5"/>
  <c r="R1277" i="5"/>
  <c r="X1281" i="5"/>
  <c r="R1281" i="5"/>
  <c r="R1289" i="5"/>
  <c r="R1293" i="5"/>
  <c r="R1301" i="5"/>
  <c r="X1305" i="5"/>
  <c r="R1305" i="5"/>
  <c r="R1309" i="5"/>
  <c r="X1321" i="5"/>
  <c r="R1321"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R1557" i="5"/>
  <c r="J1557" i="5"/>
  <c r="X1561" i="5"/>
  <c r="R1561" i="5"/>
  <c r="J1561" i="5"/>
  <c r="R1565" i="5"/>
  <c r="J1565" i="5"/>
  <c r="X1569" i="5"/>
  <c r="R1569" i="5"/>
  <c r="J1569" i="5"/>
  <c r="R1573" i="5"/>
  <c r="J1573" i="5"/>
  <c r="R1577" i="5"/>
  <c r="R1581" i="5"/>
  <c r="J1581" i="5"/>
  <c r="X1585" i="5"/>
  <c r="R1585" i="5"/>
  <c r="J1585" i="5"/>
  <c r="R1589" i="5"/>
  <c r="J1589" i="5"/>
  <c r="R1597" i="5"/>
  <c r="J1597" i="5"/>
  <c r="X1601" i="5"/>
  <c r="R1601" i="5"/>
  <c r="J1601" i="5"/>
  <c r="R1605" i="5"/>
  <c r="J1605" i="5"/>
  <c r="R1613" i="5"/>
  <c r="J1613" i="5"/>
  <c r="X1617"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X1793" i="5"/>
  <c r="H1794"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X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T2380" i="5"/>
  <c r="AB2404" i="5"/>
  <c r="R2420" i="5"/>
  <c r="J2420" i="5"/>
  <c r="I2420" i="5"/>
  <c r="H2420" i="5"/>
  <c r="F2420" i="5"/>
  <c r="X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X2438" i="5"/>
  <c r="F2442" i="5"/>
  <c r="J2442" i="5"/>
  <c r="I2442" i="5"/>
  <c r="H2442" i="5"/>
  <c r="AB2460" i="5"/>
  <c r="F2497" i="5"/>
  <c r="R2497" i="5"/>
  <c r="J2497" i="5"/>
  <c r="I2497" i="5"/>
  <c r="H2497" i="5"/>
  <c r="T2501" i="5"/>
  <c r="S2501" i="5"/>
  <c r="F64" i="6"/>
  <c r="G5" i="6"/>
  <c r="H5" i="6" s="1"/>
  <c r="D5" i="6" s="1"/>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K68" i="6" s="1"/>
  <c r="AB2443" i="5"/>
  <c r="S2443" i="5"/>
  <c r="S2450" i="5"/>
  <c r="S2452" i="5"/>
  <c r="J2461" i="5"/>
  <c r="J2469" i="5"/>
  <c r="T2495" i="5"/>
  <c r="S2495" i="5"/>
  <c r="T2499" i="5"/>
  <c r="S2499" i="5"/>
  <c r="T2503" i="5"/>
  <c r="S2503" i="5"/>
  <c r="G15" i="6"/>
  <c r="H15" i="6"/>
  <c r="D15" i="6" s="1"/>
  <c r="B20" i="6"/>
  <c r="F25" i="6" s="1"/>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X2484" i="5"/>
  <c r="T2504" i="5"/>
  <c r="B21" i="6"/>
  <c r="B51" i="6"/>
  <c r="G51" i="6"/>
  <c r="G16" i="6"/>
  <c r="H16" i="6" s="1"/>
  <c r="B19" i="6"/>
  <c r="A38" i="2"/>
  <c r="J4" i="5"/>
  <c r="B41" i="4"/>
  <c r="B65" i="4" s="1"/>
  <c r="A47" i="6" s="1"/>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337" i="5"/>
  <c r="T437" i="5"/>
  <c r="T349" i="5"/>
  <c r="T433" i="5"/>
  <c r="T179" i="5"/>
  <c r="S511" i="5"/>
  <c r="S147" i="5"/>
  <c r="T158" i="5"/>
  <c r="T193" i="5"/>
  <c r="S193" i="5"/>
  <c r="S203" i="5"/>
  <c r="T182" i="5"/>
  <c r="T165" i="5"/>
  <c r="T213" i="5"/>
  <c r="T384" i="5"/>
  <c r="T41" i="5"/>
  <c r="T84" i="5"/>
  <c r="T123" i="5"/>
  <c r="T250" i="5"/>
  <c r="T44" i="5"/>
  <c r="T61" i="5"/>
  <c r="S85"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S53" i="5"/>
  <c r="S61" i="5"/>
  <c r="T76" i="5"/>
  <c r="S123" i="5"/>
  <c r="S177" i="5"/>
  <c r="T186" i="5"/>
  <c r="T226" i="5"/>
  <c r="T327" i="5"/>
  <c r="S361"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45" i="5"/>
  <c r="T93" i="5"/>
  <c r="S113" i="5"/>
  <c r="S145" i="5"/>
  <c r="T154" i="5"/>
  <c r="T214" i="5"/>
  <c r="T298" i="5"/>
  <c r="T56" i="5"/>
  <c r="T64" i="5"/>
  <c r="T69" i="5"/>
  <c r="T8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75" i="5"/>
  <c r="S129" i="5"/>
  <c r="T141" i="5"/>
  <c r="T371" i="5"/>
  <c r="T185" i="5"/>
  <c r="T133" i="5"/>
  <c r="T197" i="5"/>
  <c r="T278" i="5"/>
  <c r="S408" i="5"/>
  <c r="S111" i="5"/>
  <c r="T143" i="5"/>
  <c r="S197" i="5"/>
  <c r="T48" i="5"/>
  <c r="T77" i="5"/>
  <c r="T96" i="5"/>
  <c r="T155" i="5"/>
  <c r="S187" i="5"/>
  <c r="T282"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S67" i="5"/>
  <c r="T107" i="5"/>
  <c r="T323"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T145" i="5"/>
  <c r="T177" i="5"/>
  <c r="S81" i="5"/>
  <c r="T157"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51" i="5"/>
  <c r="T59" i="5"/>
  <c r="T79" i="5"/>
  <c r="T99" i="5"/>
  <c r="T170" i="5"/>
  <c r="T203" i="5"/>
  <c r="T210" i="5"/>
  <c r="T274" i="5"/>
  <c r="T153" i="5"/>
  <c r="T351" i="5"/>
  <c r="T222" i="5"/>
  <c r="T49" i="5"/>
  <c r="T57" i="5"/>
  <c r="S73" i="5"/>
  <c r="T92" i="5"/>
  <c r="T97"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484" i="5"/>
  <c r="T266" i="5"/>
  <c r="T344" i="5"/>
  <c r="T146" i="5"/>
  <c r="T117" i="5"/>
  <c r="T404" i="5"/>
  <c r="R2165" i="5"/>
  <c r="I1967"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165" i="5"/>
  <c r="X504" i="5"/>
  <c r="X503" i="5"/>
  <c r="X338" i="5"/>
  <c r="X121" i="5"/>
  <c r="X323" i="5"/>
  <c r="X360" i="5"/>
  <c r="X483" i="5"/>
  <c r="X326" i="5"/>
  <c r="X310" i="5"/>
  <c r="X146" i="5"/>
  <c r="X488" i="5"/>
  <c r="X514" i="5"/>
  <c r="X498" i="5"/>
  <c r="X482" i="5"/>
  <c r="X558" i="5"/>
  <c r="X555" i="5"/>
  <c r="X535" i="5"/>
  <c r="X230" i="5"/>
  <c r="X530" i="5"/>
  <c r="X387" i="5"/>
  <c r="X122" i="5"/>
  <c r="X546" i="5"/>
  <c r="X559" i="5"/>
  <c r="S532" i="5"/>
  <c r="X336" i="5"/>
  <c r="X356" i="5"/>
  <c r="S356" i="5"/>
  <c r="X318" i="5"/>
  <c r="X154" i="5"/>
  <c r="X214" i="5"/>
  <c r="X233" i="5"/>
  <c r="X70" i="5"/>
  <c r="X329" i="5"/>
  <c r="X98" i="5"/>
  <c r="X241" i="5"/>
  <c r="X301" i="5"/>
  <c r="X198" i="5"/>
  <c r="X134" i="5"/>
  <c r="X234" i="5"/>
  <c r="X174" i="5"/>
  <c r="X353" i="5"/>
  <c r="S343" i="5"/>
  <c r="X158" i="5"/>
  <c r="X331" i="5"/>
  <c r="X246" i="5"/>
  <c r="X114" i="5"/>
  <c r="X333" i="5"/>
  <c r="X82" i="5"/>
  <c r="X451" i="5"/>
  <c r="X78" i="5"/>
  <c r="X335" i="5"/>
  <c r="X282" i="5"/>
  <c r="X206" i="5"/>
  <c r="X162" i="5"/>
  <c r="X325" i="5"/>
  <c r="X138" i="5"/>
  <c r="X142" i="5"/>
  <c r="X126" i="5"/>
  <c r="X217" i="5"/>
  <c r="X278" i="5"/>
  <c r="X182" i="5"/>
  <c r="X218" i="5"/>
  <c r="X86" i="5"/>
  <c r="X202" i="5"/>
  <c r="X369" i="5"/>
  <c r="X46" i="5"/>
  <c r="X315" i="5"/>
  <c r="S315" i="5"/>
  <c r="X96" i="5"/>
  <c r="X48" i="5"/>
  <c r="X327" i="5"/>
  <c r="X118" i="5"/>
  <c r="X311" i="5"/>
  <c r="X54" i="5"/>
  <c r="X50" i="5"/>
  <c r="X317" i="5"/>
  <c r="X66" i="5"/>
  <c r="X62" i="5"/>
  <c r="X357" i="5"/>
  <c r="S357" i="5"/>
  <c r="X90" i="5"/>
  <c r="X130" i="5"/>
  <c r="X383" i="5"/>
  <c r="S383" i="5"/>
  <c r="X313" i="5"/>
  <c r="X92" i="5"/>
  <c r="X76" i="5"/>
  <c r="X44" i="5"/>
  <c r="X250" i="5"/>
  <c r="X319" i="5"/>
  <c r="X242" i="5"/>
  <c r="X345" i="5"/>
  <c r="X321" i="5"/>
  <c r="X24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971"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30" i="6"/>
  <c r="G30" i="6" s="1"/>
  <c r="B41" i="6"/>
  <c r="G41" i="6"/>
  <c r="B31" i="6"/>
  <c r="G31" i="6" s="1"/>
  <c r="J306" i="5"/>
  <c r="J2417" i="5"/>
  <c r="J2160" i="5"/>
  <c r="F1876" i="5"/>
  <c r="X1801" i="5"/>
  <c r="R1770" i="5"/>
  <c r="R1700" i="5"/>
  <c r="X1609" i="5"/>
  <c r="X1577" i="5"/>
  <c r="I1696" i="5"/>
  <c r="I1672" i="5"/>
  <c r="F1126" i="5"/>
  <c r="F875" i="5"/>
  <c r="R888" i="5"/>
  <c r="F783" i="5"/>
  <c r="R757" i="5"/>
  <c r="I588" i="5"/>
  <c r="R431" i="5"/>
  <c r="J435" i="5"/>
  <c r="F102"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X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67" i="6" s="1"/>
  <c r="B52" i="6"/>
  <c r="G52" i="6" s="1"/>
  <c r="B37" i="6"/>
  <c r="G37" i="6"/>
  <c r="B42" i="6"/>
  <c r="G42" i="6" s="1"/>
  <c r="B40" i="6"/>
  <c r="G40" i="6" s="1"/>
  <c r="B50" i="6"/>
  <c r="G50" i="6"/>
  <c r="B25" i="6"/>
  <c r="G25" i="6" s="1"/>
  <c r="B35" i="6"/>
  <c r="G35" i="6" s="1"/>
  <c r="B39" i="6"/>
  <c r="G39" i="6"/>
  <c r="F24" i="6"/>
  <c r="F34" i="6" s="1"/>
  <c r="H34" i="6" s="1"/>
  <c r="D34" i="6" s="1"/>
  <c r="B44" i="6"/>
  <c r="G44" i="6" s="1"/>
  <c r="G32" i="6"/>
  <c r="B49" i="6"/>
  <c r="G49" i="6" s="1"/>
  <c r="B34" i="6"/>
  <c r="G34" i="6"/>
  <c r="B29" i="6"/>
  <c r="G29" i="6" s="1"/>
  <c r="B24" i="6"/>
  <c r="G24" i="6"/>
  <c r="G19" i="6"/>
  <c r="F2426" i="5"/>
  <c r="X2426" i="5"/>
  <c r="R2426" i="5"/>
  <c r="J2426" i="5"/>
  <c r="I2426" i="5"/>
  <c r="H2426" i="5"/>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D21" i="6" s="1"/>
  <c r="B36" i="6"/>
  <c r="G36" i="6" s="1"/>
  <c r="G20" i="6"/>
  <c r="H20" i="6" s="1"/>
  <c r="B45" i="6"/>
  <c r="G45" i="6"/>
  <c r="H2439" i="5"/>
  <c r="F2439" i="5"/>
  <c r="X2439" i="5"/>
  <c r="R2439" i="5"/>
  <c r="J2439" i="5"/>
  <c r="I2439" i="5"/>
  <c r="F2414" i="5"/>
  <c r="X2414" i="5"/>
  <c r="R2414" i="5"/>
  <c r="J2414" i="5"/>
  <c r="I2414" i="5"/>
  <c r="H2414" i="5"/>
  <c r="J2448" i="5"/>
  <c r="F2448" i="5"/>
  <c r="X2448" i="5"/>
  <c r="I2448" i="5"/>
  <c r="H2448" i="5"/>
  <c r="R2448" i="5"/>
  <c r="B27" i="6"/>
  <c r="G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H31" i="6" s="1"/>
  <c r="D31" i="6" s="1"/>
  <c r="F51" i="6"/>
  <c r="H51" i="6" s="1"/>
  <c r="D51" i="6" s="1"/>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65" i="6"/>
  <c r="B2"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69" i="5"/>
  <c r="S381"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354"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475" i="5"/>
  <c r="X490" i="5"/>
  <c r="X537" i="5"/>
  <c r="X116" i="5"/>
  <c r="X236" i="5"/>
  <c r="X268" i="5"/>
  <c r="X300" i="5"/>
  <c r="X529" i="5"/>
  <c r="X431" i="5"/>
  <c r="X305" i="5"/>
  <c r="X334" i="5"/>
  <c r="X297" i="5"/>
  <c r="X207" i="5"/>
  <c r="X194" i="5"/>
  <c r="X306" i="5"/>
  <c r="X592" i="5"/>
  <c r="X395" i="5"/>
  <c r="X115" i="5"/>
  <c r="X533" i="5"/>
  <c r="S533" i="5"/>
  <c r="X438" i="5"/>
  <c r="X148" i="5"/>
  <c r="X458" i="5"/>
  <c r="X513" i="5"/>
  <c r="X609" i="5"/>
  <c r="X561" i="5"/>
  <c r="X386" i="5"/>
  <c r="X545" i="5"/>
  <c r="X575" i="5"/>
  <c r="X216" i="5"/>
  <c r="X534" i="5"/>
  <c r="X355" i="5"/>
  <c r="S355" i="5"/>
  <c r="X541" i="5"/>
  <c r="X588" i="5"/>
  <c r="X330" i="5"/>
  <c r="X391" i="5"/>
  <c r="X602" i="5"/>
  <c r="S602" i="5"/>
  <c r="X562" i="5"/>
  <c r="X262" i="5"/>
  <c r="X350"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54" i="5"/>
  <c r="X607" i="5"/>
  <c r="S607" i="5"/>
  <c r="X426" i="5"/>
  <c r="X489" i="5"/>
  <c r="X579"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415" i="5"/>
  <c r="X239" i="5"/>
  <c r="X608" i="5"/>
  <c r="X71" i="5"/>
  <c r="X265" i="5"/>
  <c r="X574" i="5"/>
  <c r="H24" i="6"/>
  <c r="D24" i="6" s="1"/>
  <c r="AB12" i="5"/>
  <c r="AB9" i="5"/>
  <c r="AB10" i="5"/>
  <c r="AB14" i="5"/>
  <c r="AB17" i="5"/>
  <c r="AB16" i="5"/>
  <c r="AB8" i="5"/>
  <c r="G65" i="6" s="1"/>
  <c r="AB13" i="5"/>
  <c r="AB15" i="5"/>
  <c r="AB11" i="5"/>
  <c r="AB7" i="5"/>
  <c r="X100"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G66"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6" i="5"/>
  <c r="T11" i="5"/>
  <c r="T7" i="5"/>
  <c r="S18" i="5"/>
  <c r="T18" i="5"/>
  <c r="T32" i="5"/>
  <c r="T22" i="5"/>
  <c r="T24" i="5"/>
  <c r="S22" i="5"/>
  <c r="T12" i="5"/>
  <c r="T28" i="5"/>
  <c r="T30" i="5"/>
  <c r="T17" i="5"/>
  <c r="T23" i="5"/>
  <c r="S26" i="5"/>
  <c r="T10" i="5"/>
  <c r="T27" i="5"/>
  <c r="T25" i="5"/>
  <c r="T34" i="5"/>
  <c r="T26" i="5"/>
  <c r="T38" i="5"/>
  <c r="T19" i="5"/>
  <c r="T20" i="5"/>
  <c r="S30" i="5"/>
  <c r="T35" i="5"/>
  <c r="T31" i="5"/>
  <c r="T37" i="5"/>
  <c r="T39" i="5"/>
  <c r="T36" i="5"/>
  <c r="S34" i="5"/>
  <c r="T9" i="5"/>
  <c r="S14" i="5"/>
  <c r="S10" i="5"/>
  <c r="S38" i="5"/>
  <c r="T13" i="5"/>
  <c r="T15" i="5"/>
  <c r="T14" i="5"/>
  <c r="T8" i="5"/>
  <c r="T6" i="5"/>
  <c r="S6" i="5"/>
  <c r="T5" i="5"/>
  <c r="S5" i="5"/>
  <c r="G64" i="6" a="1"/>
  <c r="G67" i="6" l="1"/>
  <c r="H67" i="6" s="1"/>
  <c r="G68" i="6"/>
  <c r="I30" i="5"/>
  <c r="G34" i="5"/>
  <c r="G26" i="5"/>
  <c r="G18" i="5"/>
  <c r="G10" i="5"/>
  <c r="I22" i="5"/>
  <c r="H38" i="5"/>
  <c r="G6" i="5"/>
  <c r="G69" i="6" a="1"/>
  <c r="G69" i="6" s="1"/>
  <c r="H69" i="6" s="1"/>
  <c r="X5" i="5"/>
  <c r="F21" i="5"/>
  <c r="R29" i="5"/>
  <c r="I25" i="5"/>
  <c r="G38" i="5"/>
  <c r="G30" i="5"/>
  <c r="G22" i="5"/>
  <c r="G14" i="5"/>
  <c r="E37" i="5"/>
  <c r="E29" i="5"/>
  <c r="E21" i="5"/>
  <c r="E13" i="5"/>
  <c r="F37" i="5"/>
  <c r="R39" i="5"/>
  <c r="H31" i="5"/>
  <c r="H27" i="5"/>
  <c r="H23" i="5"/>
  <c r="G37" i="5"/>
  <c r="G29" i="5"/>
  <c r="G21" i="5"/>
  <c r="E36" i="5"/>
  <c r="E28" i="5"/>
  <c r="E20" i="5"/>
  <c r="E12" i="5"/>
  <c r="I33" i="5"/>
  <c r="I37" i="5"/>
  <c r="R37" i="5"/>
  <c r="E35" i="5"/>
  <c r="E27" i="5"/>
  <c r="E19" i="5"/>
  <c r="E11" i="5"/>
  <c r="I21" i="5"/>
  <c r="J29" i="5"/>
  <c r="F35" i="5"/>
  <c r="G27" i="5"/>
  <c r="E33" i="5"/>
  <c r="E25" i="5"/>
  <c r="E17" i="5"/>
  <c r="E9" i="5"/>
  <c r="J33" i="5"/>
  <c r="R25" i="5"/>
  <c r="J21" i="5"/>
  <c r="H25" i="5"/>
  <c r="G33" i="5"/>
  <c r="E32" i="5"/>
  <c r="E24" i="5"/>
  <c r="E16" i="5"/>
  <c r="E8" i="5"/>
  <c r="H37" i="5"/>
  <c r="F33" i="5"/>
  <c r="E39" i="5"/>
  <c r="E31" i="5"/>
  <c r="E23" i="5"/>
  <c r="E15" i="5"/>
  <c r="E7" i="5"/>
  <c r="G61" i="4"/>
  <c r="A25" i="6"/>
  <c r="B57" i="4"/>
  <c r="A40" i="6" s="1"/>
  <c r="B51" i="4"/>
  <c r="A35" i="6" s="1"/>
  <c r="B69" i="4"/>
  <c r="A50" i="6" s="1"/>
  <c r="B63" i="4"/>
  <c r="A45" i="6" s="1"/>
  <c r="F37" i="6"/>
  <c r="H37" i="6" s="1"/>
  <c r="D37" i="6" s="1"/>
  <c r="H27" i="6"/>
  <c r="D27" i="6" s="1"/>
  <c r="F52" i="6"/>
  <c r="H52" i="6" s="1"/>
  <c r="D52" i="6" s="1"/>
  <c r="F68" i="6"/>
  <c r="F42" i="6"/>
  <c r="H42" i="6" s="1"/>
  <c r="D42" i="6" s="1"/>
  <c r="F32" i="6"/>
  <c r="H32" i="6" s="1"/>
  <c r="D32" i="6" s="1"/>
  <c r="F47" i="6"/>
  <c r="H47" i="6" s="1"/>
  <c r="D47" i="6" s="1"/>
  <c r="C32" i="6"/>
  <c r="C37" i="6"/>
  <c r="D17" i="6"/>
  <c r="C52" i="6"/>
  <c r="C42" i="6"/>
  <c r="C17" i="6"/>
  <c r="C22" i="6"/>
  <c r="C27" i="6"/>
  <c r="C47" i="6"/>
  <c r="K67" i="6"/>
  <c r="D16" i="6"/>
  <c r="F36" i="6"/>
  <c r="H36" i="6" s="1"/>
  <c r="D36" i="6" s="1"/>
  <c r="C51" i="6"/>
  <c r="H26" i="6"/>
  <c r="D26" i="6" s="1"/>
  <c r="F41" i="6"/>
  <c r="H41" i="6" s="1"/>
  <c r="D41" i="6" s="1"/>
  <c r="C31" i="6"/>
  <c r="F46" i="6"/>
  <c r="H46" i="6" s="1"/>
  <c r="D46" i="6" s="1"/>
  <c r="C21" i="6"/>
  <c r="C16" i="6"/>
  <c r="C26" i="6"/>
  <c r="C20" i="6"/>
  <c r="K66" i="6"/>
  <c r="D20" i="6"/>
  <c r="H25" i="6"/>
  <c r="D25" i="6" s="1"/>
  <c r="F30" i="6"/>
  <c r="H30" i="6" s="1"/>
  <c r="F45" i="6"/>
  <c r="H45" i="6" s="1"/>
  <c r="D45" i="6" s="1"/>
  <c r="F35" i="6"/>
  <c r="H35" i="6" s="1"/>
  <c r="D35" i="6" s="1"/>
  <c r="F40" i="6"/>
  <c r="H40" i="6" s="1"/>
  <c r="D40" i="6" s="1"/>
  <c r="F66" i="6"/>
  <c r="H66" i="6" s="1"/>
  <c r="D66" i="6" s="1"/>
  <c r="F50" i="6"/>
  <c r="H50" i="6" s="1"/>
  <c r="C25" i="6"/>
  <c r="C15" i="6"/>
  <c r="C45" i="6"/>
  <c r="D14" i="6"/>
  <c r="B79" i="4"/>
  <c r="A57" i="6" s="1"/>
  <c r="B85" i="4"/>
  <c r="A60" i="6" s="1"/>
  <c r="B31" i="4"/>
  <c r="A18" i="6" s="1"/>
  <c r="B87" i="4"/>
  <c r="A62" i="6" s="1"/>
  <c r="B75" i="4"/>
  <c r="A54" i="6" s="1"/>
  <c r="B81" i="4"/>
  <c r="A58" i="6" s="1"/>
  <c r="B67" i="4"/>
  <c r="A48" i="6" s="1"/>
  <c r="B55" i="4"/>
  <c r="A38" i="6" s="1"/>
  <c r="B89" i="4"/>
  <c r="A63" i="6" s="1"/>
  <c r="B37" i="4"/>
  <c r="A23" i="6" s="1"/>
  <c r="B83" i="4"/>
  <c r="A59" i="6" s="1"/>
  <c r="B43" i="4"/>
  <c r="A28" i="6" s="1"/>
  <c r="B77" i="4"/>
  <c r="A55" i="6" s="1"/>
  <c r="B61" i="4"/>
  <c r="A43" i="6" s="1"/>
  <c r="B49" i="4"/>
  <c r="A33" i="6" s="1"/>
  <c r="C24" i="6"/>
  <c r="C14" i="6"/>
  <c r="C44" i="6"/>
  <c r="C2" i="6"/>
  <c r="F29" i="6"/>
  <c r="H29" i="6" s="1"/>
  <c r="D29" i="6" s="1"/>
  <c r="F44" i="6"/>
  <c r="H44" i="6" s="1"/>
  <c r="D44" i="6" s="1"/>
  <c r="F19" i="6"/>
  <c r="H19" i="6" s="1"/>
  <c r="D19" i="6" s="1"/>
  <c r="H65" i="6"/>
  <c r="D65" i="6" s="1"/>
  <c r="F49" i="6"/>
  <c r="H49" i="6" s="1"/>
  <c r="D49" i="6" s="1"/>
  <c r="F54" i="6"/>
  <c r="F39" i="6"/>
  <c r="H39" i="6" s="1"/>
  <c r="D39" i="6" s="1"/>
  <c r="C34" i="6"/>
  <c r="C39" i="6"/>
  <c r="C12" i="6"/>
  <c r="C11" i="6"/>
  <c r="D31" i="4"/>
  <c r="B32" i="4"/>
  <c r="A19" i="6" s="1"/>
  <c r="G37" i="4"/>
  <c r="C10" i="6"/>
  <c r="D37" i="4"/>
  <c r="C9" i="6"/>
  <c r="B33" i="4"/>
  <c r="A20" i="6" s="1"/>
  <c r="D74" i="4"/>
  <c r="D55" i="4"/>
  <c r="C8" i="6"/>
  <c r="D67" i="4"/>
  <c r="D49" i="4"/>
  <c r="D43" i="4"/>
  <c r="C7" i="6"/>
  <c r="B53" i="4"/>
  <c r="A37" i="6" s="1"/>
  <c r="A27" i="6"/>
  <c r="G55" i="4"/>
  <c r="G74" i="4"/>
  <c r="G67" i="4"/>
  <c r="B59" i="4"/>
  <c r="A42" i="6" s="1"/>
  <c r="G43" i="4"/>
  <c r="B34" i="4"/>
  <c r="A21" i="6" s="1"/>
  <c r="B71" i="4"/>
  <c r="A52" i="6" s="1"/>
  <c r="G49" i="4"/>
  <c r="B68" i="4"/>
  <c r="A49" i="6" s="1"/>
  <c r="A24" i="6"/>
  <c r="B56" i="4"/>
  <c r="A39" i="6" s="1"/>
  <c r="B35" i="4"/>
  <c r="A22" i="6" s="1"/>
  <c r="H6" i="6"/>
  <c r="B50" i="4"/>
  <c r="A34" i="6" s="1"/>
  <c r="C6" i="6"/>
  <c r="D6" i="6"/>
  <c r="C5" i="6"/>
  <c r="C4" i="6"/>
  <c r="D4" i="6"/>
  <c r="A26" i="6"/>
  <c r="B58" i="4"/>
  <c r="A41" i="6" s="1"/>
  <c r="B52" i="4"/>
  <c r="A36" i="6" s="1"/>
  <c r="B70" i="4"/>
  <c r="A51" i="6" s="1"/>
  <c r="G64" i="6"/>
  <c r="C69" i="6"/>
  <c r="T33" i="5"/>
  <c r="T29" i="5"/>
  <c r="T21" i="5"/>
  <c r="D67" i="6" l="1"/>
  <c r="C67" i="6"/>
  <c r="X24" i="5"/>
  <c r="X19" i="5"/>
  <c r="X23" i="5"/>
  <c r="X32" i="5"/>
  <c r="X25" i="5"/>
  <c r="X27" i="5"/>
  <c r="X36" i="5"/>
  <c r="X31" i="5"/>
  <c r="X33" i="5"/>
  <c r="X35" i="5"/>
  <c r="X13" i="5"/>
  <c r="H68" i="6"/>
  <c r="X15" i="5"/>
  <c r="X17" i="5"/>
  <c r="X28" i="5"/>
  <c r="X39" i="5"/>
  <c r="X21" i="5"/>
  <c r="X8" i="5"/>
  <c r="C65" i="6"/>
  <c r="X29" i="5"/>
  <c r="X37" i="5"/>
  <c r="X12" i="5"/>
  <c r="X7" i="5"/>
  <c r="X16" i="5"/>
  <c r="X9" i="5"/>
  <c r="X11" i="5"/>
  <c r="X20" i="5"/>
  <c r="C35" i="6"/>
  <c r="C68" i="6"/>
  <c r="D68" i="6"/>
  <c r="C41" i="6"/>
  <c r="C46" i="6"/>
  <c r="C36" i="6"/>
  <c r="C40" i="6"/>
  <c r="C30" i="6"/>
  <c r="D30" i="6"/>
  <c r="C66" i="6"/>
  <c r="D50" i="6"/>
  <c r="C50" i="6"/>
  <c r="C19" i="6"/>
  <c r="C29" i="6"/>
  <c r="C49" i="6"/>
  <c r="F60" i="6"/>
  <c r="H60" i="6" s="1"/>
  <c r="F57" i="6"/>
  <c r="H57" i="6" s="1"/>
  <c r="F63" i="6"/>
  <c r="H63" i="6" s="1"/>
  <c r="H54" i="6"/>
  <c r="F62" i="6"/>
  <c r="H62" i="6" s="1"/>
  <c r="F59" i="6"/>
  <c r="H59" i="6" s="1"/>
  <c r="F55" i="6"/>
  <c r="F58" i="6"/>
  <c r="H58" i="6" s="1"/>
  <c r="K65" i="6"/>
  <c r="B64" i="6"/>
  <c r="H64" i="6"/>
  <c r="S39" i="5"/>
  <c r="S37" i="5"/>
  <c r="S12" i="5"/>
  <c r="S16" i="5"/>
  <c r="S32" i="5"/>
  <c r="S31" i="5"/>
  <c r="S9" i="5"/>
  <c r="S15" i="5"/>
  <c r="S21" i="5"/>
  <c r="S25" i="5"/>
  <c r="S33" i="5"/>
  <c r="S24" i="5"/>
  <c r="S11" i="5"/>
  <c r="S17" i="5"/>
  <c r="S8" i="5"/>
  <c r="S7" i="5"/>
  <c r="S20" i="5"/>
  <c r="S19" i="5"/>
  <c r="S27" i="5"/>
  <c r="S35" i="5"/>
  <c r="S29" i="5"/>
  <c r="S28" i="5"/>
  <c r="S23" i="5"/>
  <c r="S36" i="5"/>
  <c r="S13" i="5"/>
  <c r="D58" i="6" l="1"/>
  <c r="C58" i="6"/>
  <c r="D59" i="6"/>
  <c r="C59" i="6"/>
  <c r="D62" i="6"/>
  <c r="C62" i="6"/>
  <c r="D54" i="6"/>
  <c r="C54" i="6"/>
  <c r="C57" i="6"/>
  <c r="D57" i="6"/>
  <c r="F56" i="6"/>
  <c r="H56" i="6" s="1"/>
  <c r="H55" i="6"/>
  <c r="D63" i="6"/>
  <c r="C63" i="6"/>
  <c r="D60" i="6"/>
  <c r="C60" i="6"/>
  <c r="C64" i="6"/>
  <c r="D64" i="6"/>
  <c r="D56" i="6" l="1"/>
  <c r="C56" i="6"/>
  <c r="H70" i="6"/>
  <c r="D2" i="6" s="1"/>
  <c r="D55" i="6"/>
  <c r="C55" i="6"/>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<sst xmlns="http://schemas.openxmlformats.org/spreadsheetml/2006/main" count="22259" uniqueCount="15666">
  <si>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</si>
  <si>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</si>
  <si>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</si>
  <si>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</si>
  <si>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</si>
  <si>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</si>
  <si>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</si>
  <si>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</si>
  <si>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</si>
  <si>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</si>
  <si>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</si>
  <si>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</si>
  <si>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</si>
  <si>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</si>
  <si>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</si>
  <si>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</si>
  <si>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</si>
  <si>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</si>
  <si>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</si>
  <si>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</si>
  <si>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</si>
  <si>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</si>
  <si>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</si>
  <si>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</si>
  <si>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</si>
  <si>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</si>
  <si>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</si>
  <si>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</si>
  <si>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</si>
  <si>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</si>
  <si>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</si>
  <si>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</si>
  <si>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</si>
  <si>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</si>
  <si>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</si>
  <si>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</si>
  <si>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</si>
  <si>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</si>
  <si>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</si>
  <si>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</si>
  <si>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</si>
  <si>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</si>
  <si>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</si>
  <si>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</si>
  <si>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</si>
  <si>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</si>
  <si>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</si>
  <si>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</si>
  <si>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</si>
  <si>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</si>
  <si>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</si>
  <si>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</si>
  <si>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</si>
  <si>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</si>
  <si>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</si>
  <si>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</si>
  <si>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</si>
  <si>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</si>
  <si>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</si>
  <si>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</si>
  <si>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</si>
  <si>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</si>
  <si>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</si>
  <si>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</si>
  <si>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</si>
  <si>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</si>
  <si>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</si>
  <si>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</si>
  <si>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</si>
  <si>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</si>
  <si>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</si>
  <si>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</si>
  <si>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</si>
  <si>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</si>
  <si>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</si>
  <si>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</si>
  <si>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</si>
  <si>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</si>
  <si>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</si>
  <si>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</si>
  <si>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</si>
  <si>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</si>
  <si>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</si>
  <si>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</si>
  <si>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</si>
  <si>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</si>
  <si>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</si>
  <si>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</si>
  <si>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</si>
  <si>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</si>
  <si>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</si>
  <si>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</si>
  <si>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</si>
  <si>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</si>
  <si>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</si>
  <si>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</si>
  <si>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</si>
  <si>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</si>
  <si>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</si>
  <si>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</si>
  <si>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</si>
  <si>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</si>
  <si>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</si>
  <si>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</si>
  <si>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</si>
  <si>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</si>
  <si>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</si>
  <si>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</si>
  <si>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</si>
  <si>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</si>
  <si>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</si>
  <si>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</si>
  <si>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</si>
  <si>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</si>
  <si>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</si>
  <si>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</si>
  <si>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</si>
  <si>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</si>
  <si>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</si>
  <si>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</si>
  <si>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</si>
  <si>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</si>
  <si>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</si>
  <si>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</si>
  <si>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</si>
  <si>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</si>
  <si>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</si>
  <si>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</si>
  <si>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</si>
  <si>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</si>
  <si>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</si>
  <si>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</si>
  <si>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</si>
  <si>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</si>
  <si>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</si>
  <si>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</si>
  <si>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</si>
  <si>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</si>
  <si>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</si>
  <si>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</si>
  <si>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</si>
  <si>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</si>
  <si>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</si>
  <si>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</si>
  <si>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</si>
  <si>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</si>
  <si>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</si>
  <si>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</si>
  <si>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</si>
  <si>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</si>
  <si>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</si>
  <si>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</si>
  <si>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</si>
  <si>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</si>
  <si>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</si>
  <si>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</si>
  <si>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</si>
  <si>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</si>
  <si>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</si>
  <si>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</si>
  <si>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</si>
  <si>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</si>
  <si>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</si>
  <si>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</si>
  <si>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</si>
  <si>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</si>
  <si>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</si>
  <si>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</si>
  <si>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</si>
  <si>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</si>
  <si>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</si>
  <si>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</si>
  <si>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</si>
  <si>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</si>
  <si>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</si>
  <si>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</si>
  <si>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</si>
  <si>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</si>
  <si>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</si>
  <si>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</si>
  <si>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</si>
  <si>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</si>
  <si>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</si>
  <si>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</si>
  <si>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</si>
  <si>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</si>
  <si>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</si>
  <si>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</si>
  <si>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</si>
  <si>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</si>
  <si>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</si>
  <si>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</si>
  <si>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</si>
  <si>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</si>
  <si>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</si>
  <si>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</si>
  <si>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</si>
  <si>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</si>
  <si>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</si>
  <si>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</si>
  <si>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</si>
  <si>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</si>
  <si>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</si>
  <si>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</si>
  <si>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</si>
  <si>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</si>
  <si>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</si>
  <si>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</si>
  <si>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</si>
  <si>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</si>
  <si>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</si>
  <si>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</si>
  <si>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</si>
  <si>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</si>
  <si>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</si>
  <si>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</si>
  <si>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</si>
  <si>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</si>
  <si>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</si>
  <si>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</si>
  <si>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</si>
  <si>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</si>
  <si>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</si>
  <si>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</si>
  <si>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</si>
  <si>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</si>
  <si>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</si>
  <si>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</si>
  <si>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</si>
  <si>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</si>
  <si>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</si>
  <si>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</si>
  <si>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</si>
  <si>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</si>
  <si>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</si>
  <si>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</si>
  <si>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</si>
  <si>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</si>
  <si>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</si>
  <si>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</si>
  <si>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</si>
  <si>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</si>
  <si>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</si>
  <si>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</si>
  <si>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</si>
  <si>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</si>
  <si>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</si>
  <si>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</si>
  <si>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</si>
  <si>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</si>
  <si>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</si>
  <si>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</si>
  <si>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</si>
  <si>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</si>
  <si>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</si>
  <si>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</si>
  <si>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</si>
  <si>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</si>
  <si>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</si>
  <si>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</si>
  <si>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</si>
  <si>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</si>
  <si>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</si>
  <si>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</si>
  <si>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</si>
  <si>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</si>
  <si>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</si>
  <si>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</si>
  <si>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</si>
  <si>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</si>
  <si>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</si>
  <si>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</si>
  <si>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</si>
  <si>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</si>
  <si>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</si>
  <si>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</si>
  <si>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</si>
  <si>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</si>
  <si>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</si>
  <si>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</si>
  <si>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</si>
  <si>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</si>
  <si>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</si>
  <si>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</si>
  <si>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</si>
  <si>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</si>
  <si>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</si>
  <si>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</si>
  <si>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</si>
  <si>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</si>
  <si>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</si>
  <si>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</si>
  <si>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</si>
  <si>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</si>
  <si>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</si>
  <si>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</si>
  <si>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</si>
  <si>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</si>
  <si>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</si>
  <si>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</si>
  <si>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</si>
  <si>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</si>
  <si>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</si>
  <si>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</si>
  <si>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</si>
  <si>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</si>
  <si>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</si>
  <si>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</si>
  <si>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</si>
  <si>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</si>
  <si>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</si>
  <si>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</si>
  <si>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</si>
  <si>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</si>
  <si>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</si>
  <si>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</si>
  <si>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</si>
  <si>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</si>
  <si>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</si>
  <si>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</si>
  <si>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</si>
  <si>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</si>
  <si>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</si>
  <si>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</si>
  <si>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</si>
  <si>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</si>
  <si>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</si>
  <si>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</si>
  <si>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</si>
  <si>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</si>
  <si>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</si>
  <si>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</si>
  <si>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</si>
  <si>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</si>
  <si>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</si>
  <si>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</si>
  <si>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</si>
  <si>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</si>
  <si>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</si>
  <si>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</si>
  <si>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</si>
  <si>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</si>
  <si>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</si>
  <si>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</si>
  <si>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</si>
  <si>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</si>
  <si>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</si>
  <si>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</si>
  <si>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</si>
  <si>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</si>
  <si>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</si>
  <si>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</si>
  <si>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</si>
  <si>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</si>
  <si>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</si>
  <si>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</si>
  <si>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</si>
  <si>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</si>
  <si>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</si>
  <si>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</si>
  <si>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</si>
  <si>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</si>
  <si>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</si>
  <si>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</si>
  <si>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</si>
  <si>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</si>
  <si>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</si>
  <si>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</si>
  <si>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</si>
  <si>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</si>
  <si>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</si>
  <si>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</si>
  <si>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</si>
  <si>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</si>
  <si>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</si>
  <si>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</si>
  <si>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</si>
  <si>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</si>
  <si>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</si>
  <si>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</si>
  <si>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</si>
  <si>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</si>
  <si>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</si>
  <si>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</si>
  <si>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</si>
  <si>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</si>
  <si>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</si>
  <si>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</si>
  <si>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</si>
  <si>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</si>
  <si>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</si>
  <si>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</si>
  <si>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</si>
  <si>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</si>
  <si>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</si>
  <si>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</si>
  <si>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</si>
  <si>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</si>
  <si>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</si>
  <si>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</si>
  <si>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</si>
  <si>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</si>
  <si>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</si>
  <si>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</si>
  <si>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</si>
  <si>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</si>
  <si>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</si>
  <si>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</si>
  <si>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</si>
  <si>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</si>
  <si>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</si>
  <si>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</si>
  <si>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</si>
  <si>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</si>
  <si>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</si>
  <si>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</si>
  <si>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</si>
  <si>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</si>
  <si>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</si>
  <si>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</si>
  <si>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</si>
  <si>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</si>
  <si>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</si>
  <si>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</si>
  <si>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</si>
  <si>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</si>
  <si>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</si>
  <si>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</si>
  <si>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</si>
  <si>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</si>
  <si>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</si>
  <si>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</si>
  <si>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</si>
  <si>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</si>
  <si>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</si>
  <si>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</si>
  <si>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</si>
  <si>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</si>
  <si>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</si>
  <si>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</si>
  <si>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</si>
  <si>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</si>
  <si>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</si>
  <si>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</si>
  <si>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</si>
  <si>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</si>
  <si>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</si>
  <si>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</si>
  <si>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</si>
  <si>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</si>
  <si>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</si>
  <si>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</si>
  <si>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</si>
  <si>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</si>
  <si>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</si>
  <si>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</si>
  <si>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</si>
  <si>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</si>
  <si>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</si>
  <si>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</si>
  <si>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</si>
  <si>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</si>
  <si>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</si>
  <si>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</si>
  <si>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</si>
  <si>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</si>
  <si>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</si>
  <si>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</si>
  <si>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</si>
  <si>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</si>
  <si>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</si>
  <si>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</si>
  <si>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</si>
  <si>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</si>
  <si>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</si>
  <si>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</si>
  <si>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</si>
  <si>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</si>
  <si>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</si>
  <si>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</si>
  <si>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</si>
  <si>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</si>
  <si>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</si>
  <si>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</si>
  <si>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</si>
  <si>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</si>
  <si>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</si>
  <si>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</si>
  <si>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</si>
  <si>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</si>
  <si>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</si>
  <si>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</si>
  <si>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</si>
  <si>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</si>
  <si>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</si>
  <si>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</si>
  <si>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</si>
  <si>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</si>
  <si>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</si>
  <si>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</si>
  <si>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</si>
  <si>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</si>
  <si>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</si>
  <si>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</si>
  <si>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</si>
  <si>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</si>
  <si>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</si>
  <si>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</si>
  <si>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</si>
  <si>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</si>
  <si>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</si>
  <si>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</si>
  <si>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</si>
  <si>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</si>
  <si>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</si>
  <si>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</si>
  <si>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</si>
  <si>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</si>
  <si>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</si>
  <si>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</si>
  <si>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</si>
  <si>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</si>
  <si>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</si>
  <si>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</si>
  <si>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</si>
  <si>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</si>
  <si>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</si>
  <si>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</si>
  <si>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</si>
  <si>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</si>
  <si>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</si>
  <si>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</si>
  <si>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</si>
  <si>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</si>
  <si>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</si>
  <si>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</si>
  <si>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</si>
  <si>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</si>
  <si>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</si>
  <si>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</si>
  <si>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</si>
  <si>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</si>
  <si>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</si>
  <si>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</si>
  <si>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</si>
  <si>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</si>
  <si>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</si>
  <si>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</si>
  <si>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</si>
  <si>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</si>
  <si>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</si>
  <si>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</si>
  <si>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</si>
  <si>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</si>
  <si>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</si>
  <si>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</si>
  <si>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</si>
  <si>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</si>
  <si>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</si>
  <si>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</si>
  <si>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</si>
  <si>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</si>
  <si>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</si>
  <si>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</si>
  <si>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</si>
  <si>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</si>
  <si>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</si>
  <si>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</si>
  <si>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</si>
  <si>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</si>
  <si>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</si>
  <si>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</si>
  <si>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</si>
  <si>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</si>
  <si>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</si>
  <si>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</si>
  <si>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</si>
  <si>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</si>
  <si>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</si>
  <si>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</si>
  <si>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</si>
  <si>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</si>
  <si>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</si>
  <si>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</si>
  <si>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</si>
  <si>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</si>
  <si>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</si>
  <si>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</si>
  <si>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</si>
  <si>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</si>
  <si>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</si>
  <si>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</si>
  <si>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</si>
  <si>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</si>
  <si>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</si>
  <si>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</si>
  <si>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</si>
  <si>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</si>
  <si>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</si>
  <si>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</si>
  <si>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</si>
  <si>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</si>
  <si>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</si>
  <si>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</si>
  <si>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</si>
  <si>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</si>
  <si>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</si>
  <si>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</si>
  <si>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</si>
  <si>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</si>
  <si>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</si>
  <si>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</si>
  <si>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</si>
  <si>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</si>
  <si>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</si>
  <si>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</si>
  <si>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</si>
  <si>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</si>
  <si>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</si>
  <si>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</si>
  <si>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</si>
  <si>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</si>
  <si>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</si>
  <si>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</si>
  <si>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</si>
  <si>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</si>
  <si>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</si>
  <si>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</si>
  <si>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</si>
  <si>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</si>
  <si>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</si>
  <si>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</si>
  <si>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</si>
  <si>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</si>
  <si>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</si>
  <si>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</si>
  <si>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</si>
  <si>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</si>
  <si>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</si>
  <si>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</si>
  <si>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</si>
  <si>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</si>
  <si>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</si>
  <si>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</si>
  <si>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</si>
  <si>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</si>
  <si>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</si>
  <si>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</si>
  <si>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</si>
  <si>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</si>
  <si>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</si>
  <si>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</si>
  <si>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</si>
  <si>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</si>
  <si>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</si>
  <si>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</si>
  <si>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</si>
  <si>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</si>
  <si>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</si>
  <si>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</si>
  <si>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</si>
  <si>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</si>
  <si>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</si>
  <si>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</si>
  <si>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</si>
  <si>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</si>
  <si>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</si>
  <si>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</si>
  <si>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</si>
  <si>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</si>
  <si>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</si>
  <si>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</si>
  <si>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</si>
  <si>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</si>
  <si>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</si>
  <si>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</si>
  <si>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</si>
  <si>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</si>
  <si>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</si>
  <si>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</si>
  <si>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</si>
  <si>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</si>
  <si>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</si>
  <si>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</si>
  <si>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</si>
  <si>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</si>
  <si>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</si>
  <si>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</si>
  <si>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</si>
  <si>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</si>
  <si>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</si>
  <si>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</si>
  <si>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</si>
  <si>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</si>
  <si>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</si>
  <si>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</si>
  <si>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</si>
  <si>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</si>
  <si>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</si>
  <si>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</si>
  <si>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</si>
  <si>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</si>
  <si>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</si>
  <si>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</si>
  <si>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</si>
  <si>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</si>
  <si>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</si>
  <si>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</si>
  <si>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</si>
  <si>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</si>
  <si>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</si>
  <si>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</si>
  <si>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</si>
  <si>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</si>
  <si>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</si>
  <si>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</si>
  <si>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</si>
  <si>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</si>
  <si>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</si>
  <si>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</si>
  <si>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</si>
  <si>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</si>
  <si>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</si>
  <si>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</si>
  <si>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</si>
  <si>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</si>
  <si>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</si>
  <si>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</si>
  <si>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</si>
  <si>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</si>
  <si>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</si>
  <si>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</si>
  <si>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</si>
  <si>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</si>
  <si>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</si>
  <si>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</si>
  <si>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</si>
  <si>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</si>
  <si>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</si>
  <si>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</si>
  <si>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</si>
  <si>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</si>
  <si>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</si>
  <si>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</si>
  <si>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</si>
  <si>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</si>
  <si>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</si>
  <si>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</si>
  <si>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</si>
  <si>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</si>
  <si>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</si>
  <si>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</si>
  <si>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</si>
  <si>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</si>
  <si>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</si>
  <si>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</si>
  <si>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</si>
  <si>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</si>
  <si>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</si>
  <si>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</si>
  <si>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</si>
  <si>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</si>
  <si>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</si>
  <si>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</si>
  <si>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</si>
  <si>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</si>
  <si>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</si>
  <si>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</si>
  <si>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</si>
  <si>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</si>
  <si>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</si>
  <si>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</si>
  <si>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</si>
  <si>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</si>
  <si>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</si>
  <si>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</si>
  <si>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</si>
  <si>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</si>
  <si>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</si>
  <si>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</si>
  <si>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</si>
  <si>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</si>
  <si>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</si>
  <si>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</si>
  <si>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</si>
  <si>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</si>
  <si>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</si>
  <si>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</si>
  <si>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</si>
  <si>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</si>
  <si>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</si>
  <si>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</si>
  <si>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</si>
  <si>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</si>
  <si>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</si>
  <si>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</si>
  <si>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</si>
  <si>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</si>
  <si>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</si>
  <si>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</si>
  <si>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</si>
  <si>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</si>
  <si>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</si>
  <si>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</si>
  <si>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</si>
  <si>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</si>
  <si>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</si>
  <si>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</si>
  <si>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</si>
  <si>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</si>
  <si>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</si>
  <si>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</si>
  <si>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</si>
  <si>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</si>
  <si>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</si>
  <si>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</si>
  <si>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</si>
  <si>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</si>
  <si>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</si>
  <si>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</si>
  <si>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</si>
  <si>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</si>
  <si>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</si>
  <si>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</si>
  <si>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</si>
  <si>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</si>
  <si>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</si>
  <si>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</si>
  <si>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</si>
  <si>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</si>
  <si>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</si>
  <si>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</si>
  <si>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</si>
  <si>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</si>
  <si>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</si>
  <si>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</si>
  <si>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</si>
  <si>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</si>
  <si>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</si>
  <si>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</si>
  <si>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</si>
  <si>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</si>
  <si>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</si>
  <si>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</si>
  <si>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</si>
  <si>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</si>
  <si>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</si>
  <si>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</si>
  <si>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</si>
  <si>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</si>
  <si>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</si>
  <si>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</si>
  <si>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</si>
  <si>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</si>
  <si>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</si>
  <si>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</si>
  <si>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</si>
  <si>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</si>
  <si>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</si>
  <si>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</si>
  <si>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</si>
  <si>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</si>
  <si>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</si>
  <si>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</si>
  <si>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</si>
  <si>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</si>
  <si>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</si>
  <si>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</si>
  <si>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</si>
  <si>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</si>
  <si>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</si>
  <si>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</si>
  <si>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</si>
  <si>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</si>
  <si>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</si>
  <si>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</si>
  <si>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</si>
  <si>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</si>
  <si>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</si>
  <si>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</si>
  <si>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</si>
  <si>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</si>
  <si>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</si>
  <si>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</si>
  <si>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</si>
  <si>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</si>
  <si>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</si>
  <si>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</si>
  <si>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</si>
  <si>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</si>
  <si>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</si>
  <si>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</si>
  <si>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</si>
  <si>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</si>
  <si>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</si>
  <si>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</si>
  <si>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</si>
  <si>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</si>
  <si>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</si>
  <si>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</si>
  <si>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</si>
  <si>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</si>
  <si>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</si>
  <si>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</si>
  <si>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</si>
  <si>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</si>
  <si>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</si>
  <si>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</si>
  <si>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</si>
  <si>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</si>
  <si>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</si>
  <si>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</si>
  <si>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</si>
  <si>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</si>
  <si>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</si>
  <si>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</si>
  <si>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</si>
  <si>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</si>
  <si>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</si>
  <si>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</si>
  <si>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</si>
  <si>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</si>
  <si>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</si>
  <si>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</si>
  <si>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</si>
  <si>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</si>
  <si>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</si>
  <si>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</si>
  <si>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</si>
  <si>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</si>
  <si>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</si>
  <si>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</si>
  <si>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</si>
  <si>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</si>
  <si>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</si>
  <si>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</si>
  <si>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</si>
  <si>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</si>
  <si>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</si>
  <si>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</si>
  <si>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</si>
  <si>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</si>
  <si>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</si>
  <si>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</si>
  <si>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</si>
  <si>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</si>
  <si>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</si>
  <si>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</si>
  <si>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</si>
  <si>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</si>
  <si>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</si>
  <si>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</si>
  <si>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</si>
  <si>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</si>
  <si>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</si>
  <si>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</si>
  <si>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</si>
  <si>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</si>
  <si>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</si>
  <si>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</si>
  <si>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</si>
  <si>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</si>
  <si>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</si>
  <si>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</si>
  <si>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</si>
  <si>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</si>
  <si>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</si>
  <si>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</si>
  <si>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</si>
  <si>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</si>
  <si>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</si>
  <si>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</si>
  <si>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</si>
  <si>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</si>
  <si>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</si>
  <si>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</si>
  <si>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</si>
  <si>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</si>
  <si>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</si>
  <si>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</si>
  <si>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</si>
  <si>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</si>
  <si>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</si>
  <si>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</si>
  <si>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</si>
  <si>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</si>
  <si>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</si>
  <si>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</si>
  <si>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</si>
  <si>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</si>
  <si>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</si>
  <si>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</si>
  <si>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</si>
  <si>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</si>
  <si>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</si>
  <si>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</si>
  <si>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</si>
  <si>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</si>
  <si>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</si>
  <si>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</si>
  <si>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</si>
  <si>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</si>
  <si>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</si>
  <si>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</si>
  <si>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</si>
  <si>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</si>
  <si>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</si>
  <si>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</si>
  <si>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</si>
  <si>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</si>
  <si>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</si>
  <si>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</si>
  <si>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</si>
  <si>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</si>
  <si>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</si>
  <si>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</si>
  <si>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</si>
  <si>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</si>
  <si>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</si>
  <si>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</si>
  <si>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</si>
  <si>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</si>
  <si>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</si>
  <si>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</si>
  <si>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</si>
  <si>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</si>
  <si>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</si>
  <si>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</si>
  <si>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</si>
  <si>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</si>
  <si>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</si>
  <si>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</si>
  <si>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</si>
  <si>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</si>
  <si>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</si>
  <si>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</si>
  <si>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</si>
  <si>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</si>
  <si>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</si>
  <si>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</si>
  <si>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</si>
  <si>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</si>
  <si>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</si>
  <si>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</si>
  <si>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</si>
  <si>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</si>
  <si>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</si>
  <si>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</si>
  <si>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</si>
  <si>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</si>
  <si>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</si>
  <si>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</si>
  <si>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</si>
  <si>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</si>
  <si>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</si>
  <si>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</si>
  <si>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</si>
  <si>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</si>
  <si>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</si>
  <si>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</si>
  <si>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</si>
  <si>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</si>
  <si>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</si>
  <si>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</si>
  <si>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</si>
  <si>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</si>
  <si>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</si>
  <si>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</si>
  <si>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</si>
  <si>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</si>
  <si>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</si>
  <si>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</si>
  <si>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</si>
  <si>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</si>
  <si>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</si>
  <si>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</si>
  <si>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</si>
  <si>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</si>
  <si>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</si>
  <si>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</si>
  <si>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</si>
  <si>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</si>
  <si>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</si>
  <si>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</si>
  <si>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</si>
  <si>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</si>
  <si>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</si>
  <si>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</si>
  <si>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</si>
  <si>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</si>
  <si>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</si>
  <si>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</si>
  <si>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</si>
  <si>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</si>
  <si>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</si>
  <si>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</si>
  <si>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</si>
  <si>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</si>
  <si>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</si>
  <si>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</si>
  <si>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</si>
  <si>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</si>
  <si>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</si>
  <si>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</si>
  <si>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</si>
  <si>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</si>
  <si>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</si>
  <si>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</si>
  <si>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</si>
  <si>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</si>
  <si>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</si>
  <si>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</si>
  <si>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</si>
  <si>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</si>
  <si>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</si>
  <si>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</si>
  <si>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</si>
  <si>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</si>
  <si>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</si>
  <si>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</si>
  <si>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</si>
  <si>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</si>
  <si>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</si>
  <si>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</si>
  <si>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</si>
  <si>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</si>
  <si>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</si>
  <si>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</si>
  <si>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</si>
  <si>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</si>
  <si>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</si>
  <si>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</si>
  <si>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</si>
  <si>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</si>
  <si>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</si>
  <si>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</si>
  <si>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</si>
  <si>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</si>
  <si>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</si>
  <si>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</si>
  <si>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</si>
  <si>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</si>
  <si>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</si>
  <si>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</si>
  <si>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</si>
  <si>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</si>
  <si>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</si>
  <si>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</si>
  <si>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</si>
  <si>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</si>
  <si>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</si>
  <si>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</si>
  <si>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</si>
  <si>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</si>
  <si>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</si>
  <si>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</si>
  <si>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</si>
  <si>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</si>
  <si>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</si>
  <si>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</si>
  <si>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</si>
  <si>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</si>
  <si>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</si>
  <si>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</si>
  <si>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</si>
  <si>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</si>
  <si>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</si>
  <si>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</si>
  <si>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</si>
  <si>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</si>
  <si>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</si>
  <si>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</si>
  <si>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</si>
  <si>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</si>
  <si>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</si>
  <si>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</si>
  <si>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</si>
  <si>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</si>
  <si>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</si>
  <si>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</si>
  <si>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</si>
  <si>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</si>
  <si>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</si>
  <si>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</si>
  <si>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</si>
  <si>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</si>
  <si>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</si>
  <si>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</si>
  <si>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</si>
  <si>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</si>
  <si>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</si>
  <si>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</si>
  <si>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</si>
  <si>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</si>
  <si>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</si>
  <si>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</si>
  <si>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</si>
  <si>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</si>
  <si>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</si>
  <si>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</si>
  <si>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</si>
  <si>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</si>
  <si>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</si>
  <si>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</si>
  <si>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</si>
  <si>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</si>
  <si>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</si>
  <si>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</si>
  <si>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</si>
  <si>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</si>
  <si>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</si>
  <si>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</si>
  <si>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</si>
  <si>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</si>
  <si>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</si>
  <si>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</si>
  <si>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</si>
  <si>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</si>
  <si>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</si>
  <si>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</si>
  <si>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</si>
  <si>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</si>
  <si>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</si>
  <si>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</si>
  <si>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</si>
  <si>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</si>
  <si>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</si>
  <si>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</si>
  <si>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</si>
  <si>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</si>
  <si>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</si>
  <si>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</si>
  <si>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</si>
  <si>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</si>
  <si>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</si>
  <si>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</si>
  <si>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</si>
  <si>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</si>
  <si>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</si>
  <si>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</si>
  <si>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</si>
  <si>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</si>
  <si>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</si>
  <si>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</si>
  <si>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</si>
  <si>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</si>
  <si>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</si>
  <si>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</si>
  <si>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</si>
  <si>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</si>
  <si>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</si>
  <si>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</si>
  <si>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</si>
  <si>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</si>
  <si>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</si>
  <si>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</si>
  <si>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</si>
  <si>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</si>
  <si>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</si>
  <si>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</si>
  <si>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</si>
  <si>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</si>
  <si>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</si>
  <si>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</si>
  <si>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</si>
  <si>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</si>
  <si>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</si>
  <si>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</si>
  <si>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</si>
  <si>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</si>
  <si>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</si>
  <si>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</si>
  <si>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</si>
  <si>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</si>
  <si>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</si>
  <si>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</si>
  <si>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</si>
  <si>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</si>
  <si>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</si>
  <si>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</si>
  <si>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</si>
  <si>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</si>
  <si>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</si>
  <si>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</si>
  <si>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</si>
  <si>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</si>
  <si>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</si>
  <si>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</si>
  <si>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</si>
  <si>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</si>
  <si>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</si>
  <si>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</si>
  <si>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</si>
  <si>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</si>
  <si>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</si>
  <si>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</si>
  <si>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</si>
  <si>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</si>
  <si>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</si>
  <si>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</si>
  <si>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</si>
  <si>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</si>
  <si>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</si>
  <si>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</si>
  <si>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</si>
  <si>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</si>
  <si>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</si>
  <si>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</si>
  <si>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</si>
  <si>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</si>
  <si>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</si>
  <si>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</si>
  <si>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</si>
  <si>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</si>
  <si>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</si>
  <si>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</si>
  <si>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</si>
  <si>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</si>
  <si>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</si>
  <si>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</si>
  <si>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</si>
  <si>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</si>
  <si>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</si>
  <si>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</si>
  <si>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</si>
  <si>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</si>
  <si>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</si>
  <si>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</si>
  <si>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</si>
  <si>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</si>
  <si>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</si>
  <si>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</si>
  <si>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</si>
  <si>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</si>
  <si>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</si>
  <si>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</si>
  <si>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</si>
  <si>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</si>
  <si>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</si>
  <si>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</si>
  <si>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</si>
  <si>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</si>
  <si>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</si>
  <si>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</si>
  <si>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</si>
  <si>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</si>
  <si>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</si>
  <si>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</si>
  <si>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</si>
  <si>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</si>
  <si>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</si>
  <si>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</si>
  <si>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</si>
  <si>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</si>
  <si>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</si>
  <si>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</si>
  <si>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</si>
  <si>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</si>
  <si>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</si>
  <si>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</si>
  <si>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</si>
  <si>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</si>
  <si>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</si>
  <si>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</si>
  <si>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</si>
  <si>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</si>
  <si>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</si>
  <si>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</si>
  <si>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</si>
  <si>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</si>
  <si>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</si>
  <si>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</si>
  <si>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</si>
  <si>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</si>
  <si>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</si>
  <si>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</si>
  <si>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</si>
  <si>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</si>
  <si>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</si>
  <si>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</si>
  <si>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</si>
  <si>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</si>
  <si>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</si>
  <si>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</si>
  <si>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</si>
  <si>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</si>
  <si>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</si>
  <si>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</si>
  <si>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</si>
  <si>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</si>
  <si>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</si>
  <si>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</si>
  <si>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</si>
  <si>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</si>
  <si>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</si>
  <si>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</si>
  <si>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</si>
  <si>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</si>
  <si>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</si>
  <si>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</si>
  <si>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</si>
  <si>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</si>
  <si>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</si>
  <si>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</si>
  <si>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</si>
  <si>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</si>
  <si>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</si>
  <si>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</si>
  <si>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</si>
  <si>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</si>
  <si>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</si>
  <si>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</si>
  <si>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</si>
  <si>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</si>
  <si>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</si>
  <si>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</si>
  <si>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</si>
  <si>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</si>
  <si>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</si>
  <si>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</si>
  <si>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</si>
  <si>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</si>
  <si>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</si>
  <si>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</si>
  <si>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</si>
  <si>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</si>
  <si>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</si>
  <si>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</si>
  <si>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</si>
  <si>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</si>
  <si>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</si>
  <si>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</si>
  <si>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</si>
  <si>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</si>
  <si>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</si>
  <si>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</si>
  <si>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</si>
  <si>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</si>
  <si>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</si>
  <si>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</si>
  <si>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</si>
  <si>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</si>
  <si>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</si>
  <si>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</si>
  <si>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</si>
  <si>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</si>
  <si>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</si>
  <si>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</si>
  <si>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</si>
  <si>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</si>
  <si>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</si>
  <si>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</si>
  <si>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</si>
  <si>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</si>
  <si>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</si>
  <si>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</si>
  <si>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</si>
  <si>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</si>
  <si>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</si>
  <si>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</si>
  <si>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</si>
  <si>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</si>
  <si>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</si>
  <si>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</si>
  <si>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</si>
  <si>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</si>
  <si>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</si>
  <si>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</si>
  <si>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</si>
  <si>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</si>
  <si>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</si>
  <si>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</si>
  <si>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</si>
  <si>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</si>
  <si>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</si>
  <si>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</si>
  <si>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</si>
  <si>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</si>
  <si>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</si>
  <si>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</si>
  <si>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</si>
  <si>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</si>
  <si>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</si>
  <si>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</si>
  <si>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</si>
  <si>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</si>
  <si>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</si>
  <si>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</si>
  <si>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</si>
  <si>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</si>
  <si>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</si>
  <si>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</si>
  <si>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</si>
  <si>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</si>
  <si>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</si>
  <si>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</si>
  <si>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</si>
  <si>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</si>
  <si>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</si>
  <si>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</si>
  <si>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</si>
  <si>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</si>
  <si>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</si>
  <si>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</si>
  <si>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</si>
  <si>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</si>
  <si>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</si>
  <si>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</si>
  <si>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</si>
  <si>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</si>
  <si>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</si>
  <si>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</si>
  <si>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</si>
  <si>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</si>
  <si>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</si>
  <si>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</si>
  <si>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</si>
  <si>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</si>
  <si>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</si>
  <si>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</si>
  <si>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</si>
  <si>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</si>
  <si>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</si>
  <si>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</si>
  <si>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</si>
  <si>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</si>
  <si>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</si>
  <si>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</si>
  <si>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</si>
  <si>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</si>
  <si>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</si>
  <si>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</si>
  <si>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</si>
  <si>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</si>
  <si>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</si>
  <si>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</si>
  <si>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</si>
  <si>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</si>
  <si>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</si>
  <si>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</si>
  <si>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</si>
  <si>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</si>
  <si>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</si>
  <si>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</si>
  <si>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</si>
  <si>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</si>
  <si>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</si>
  <si>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</si>
  <si>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</si>
  <si>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</si>
  <si>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</si>
  <si>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</si>
  <si>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</si>
  <si>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</si>
  <si>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</si>
  <si>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</si>
  <si>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</si>
  <si>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</si>
  <si>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</si>
  <si>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</si>
  <si>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</si>
  <si>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</si>
  <si>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</si>
  <si>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</si>
  <si>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</si>
  <si>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</si>
  <si>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</si>
  <si>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</si>
  <si>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</si>
  <si>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</si>
  <si>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</si>
  <si>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</si>
  <si>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</si>
  <si>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</si>
  <si>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</si>
  <si>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</si>
  <si>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</si>
  <si>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</si>
  <si>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</si>
  <si>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</si>
  <si>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</si>
  <si>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</si>
  <si>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</si>
  <si>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</si>
  <si>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</si>
  <si>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</si>
  <si>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</si>
  <si>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</si>
  <si>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</si>
  <si>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</si>
  <si>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</si>
  <si>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</si>
  <si>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</si>
  <si>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</si>
  <si>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</si>
  <si>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</si>
  <si>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</si>
  <si>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</si>
  <si>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</si>
  <si>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</si>
  <si>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</si>
  <si>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</si>
  <si>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</si>
  <si>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</si>
  <si>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</si>
  <si>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</si>
  <si>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</si>
  <si>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</si>
  <si>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</si>
  <si>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</si>
  <si>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</si>
  <si>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</si>
  <si>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</si>
  <si>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</si>
  <si>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</si>
  <si>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</si>
  <si>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</si>
  <si>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</si>
  <si>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</si>
  <si>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</si>
  <si>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</si>
  <si>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</si>
  <si>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</si>
  <si>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</si>
  <si>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</si>
  <si>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</si>
  <si>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</si>
  <si>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</si>
  <si>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</si>
  <si>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</si>
  <si>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</si>
  <si>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</si>
  <si>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</si>
  <si>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</si>
  <si>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</si>
  <si>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</si>
  <si>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</si>
  <si>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</si>
  <si>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</si>
  <si>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</si>
  <si>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</si>
  <si>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</si>
  <si>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</si>
  <si>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</si>
  <si>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</si>
  <si>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</si>
  <si>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</si>
  <si>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</si>
  <si>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</si>
  <si>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</si>
  <si>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</si>
  <si>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</si>
  <si>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</si>
  <si>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</si>
  <si>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</si>
  <si>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</si>
  <si>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</si>
  <si>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</si>
  <si>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</si>
  <si>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</si>
  <si>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</si>
  <si>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</si>
  <si>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</si>
  <si>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</si>
  <si>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</si>
  <si>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</si>
  <si>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</si>
  <si>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</si>
  <si>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</si>
  <si>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</si>
  <si>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</si>
  <si>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</si>
  <si>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</si>
  <si>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</si>
  <si>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</si>
  <si>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</si>
  <si>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</si>
  <si>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</si>
  <si>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</si>
  <si>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</si>
  <si>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</si>
  <si>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</si>
  <si>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</si>
  <si>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</si>
  <si>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</si>
  <si>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</si>
  <si>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</si>
  <si>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</si>
  <si>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</si>
  <si>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</si>
  <si>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</si>
  <si>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</si>
  <si>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</si>
  <si>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</si>
  <si>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</si>
  <si>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</si>
  <si>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</si>
  <si>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</si>
  <si>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</si>
  <si>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</si>
  <si>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</si>
  <si>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</si>
  <si>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</si>
  <si>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</si>
  <si>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</si>
  <si>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</si>
  <si>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</si>
  <si>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</si>
  <si>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</si>
  <si>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</si>
  <si>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</si>
  <si>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</si>
  <si>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</si>
  <si>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</si>
  <si>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</si>
  <si>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</si>
  <si>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</si>
  <si>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</si>
  <si>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</si>
  <si>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</si>
  <si>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</si>
  <si>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</si>
  <si>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</si>
  <si>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</si>
  <si>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</si>
  <si>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</si>
  <si>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</si>
  <si>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</si>
  <si>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</si>
  <si>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</si>
  <si>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</si>
  <si>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</si>
  <si>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</si>
  <si>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</si>
  <si>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</si>
  <si>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</si>
  <si>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</si>
  <si>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</si>
  <si>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</si>
  <si>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</si>
  <si>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</si>
  <si>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</si>
  <si>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</si>
  <si>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</si>
  <si>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</si>
  <si>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</si>
  <si>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</si>
  <si>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</si>
  <si>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</si>
  <si>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</si>
  <si>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</si>
  <si>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</si>
  <si>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</si>
  <si>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</si>
  <si>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</si>
  <si>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</si>
  <si>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</si>
  <si>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</si>
  <si>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</si>
  <si>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</si>
  <si>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</si>
  <si>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</si>
  <si>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</si>
  <si>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</si>
  <si>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</si>
  <si>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</si>
  <si>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</si>
  <si>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</si>
  <si>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</si>
  <si>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</si>
  <si>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</si>
  <si>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</si>
  <si>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</si>
  <si>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</si>
  <si>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</si>
  <si>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</si>
  <si>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</si>
  <si>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</si>
  <si>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</si>
  <si>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</si>
  <si>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</si>
  <si>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</si>
  <si>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</si>
  <si>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</si>
  <si>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</si>
  <si>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</si>
  <si>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</si>
  <si>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</si>
  <si>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</si>
  <si>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</si>
  <si>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</si>
  <si>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</si>
  <si>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</si>
  <si>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</si>
  <si>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</si>
  <si>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</si>
  <si>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</si>
  <si>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</si>
  <si>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</si>
  <si>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</si>
  <si>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</si>
  <si>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</si>
  <si>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</si>
  <si>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</si>
  <si>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</si>
  <si>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</si>
  <si>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</si>
  <si>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</si>
  <si>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</si>
  <si>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</si>
  <si>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</si>
  <si>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</si>
  <si>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</si>
  <si>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</si>
  <si>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</si>
  <si>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</si>
  <si>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</si>
  <si>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</si>
  <si>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</si>
  <si>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</si>
  <si>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</si>
  <si>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</si>
  <si>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</si>
  <si>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</si>
  <si>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</si>
  <si>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</si>
  <si>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</si>
  <si>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</si>
  <si>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</si>
  <si>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</si>
  <si>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</si>
  <si>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</si>
  <si>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</si>
  <si>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</si>
  <si>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</si>
  <si>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</si>
  <si>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</si>
  <si>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</si>
  <si>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</si>
  <si>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</si>
  <si>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</si>
  <si>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</si>
  <si>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</si>
  <si>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</si>
  <si>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</si>
  <si>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</si>
  <si>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</si>
  <si>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</si>
  <si>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</si>
  <si>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</si>
  <si>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</si>
  <si>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</si>
  <si>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</si>
  <si>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</si>
  <si>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</si>
  <si>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</si>
  <si>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</si>
  <si>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</si>
  <si>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</si>
  <si>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</si>
  <si>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</si>
  <si>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</si>
  <si>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</si>
  <si>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</si>
  <si>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</si>
  <si>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</si>
  <si>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</si>
  <si>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</si>
  <si>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</si>
  <si>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</si>
  <si>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</si>
  <si>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</si>
  <si>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</si>
  <si>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</si>
  <si>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</si>
  <si>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</si>
  <si>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</si>
  <si>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</si>
  <si>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</si>
  <si>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</si>
  <si>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</si>
  <si>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</si>
  <si>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</si>
  <si>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</si>
  <si>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</si>
  <si>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</si>
  <si>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</si>
  <si>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</si>
  <si>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</si>
  <si>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</si>
  <si>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</si>
  <si>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</si>
  <si>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</si>
  <si>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</si>
  <si>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</si>
  <si>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</si>
  <si>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</si>
  <si>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</si>
  <si>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</si>
  <si>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</si>
  <si>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</si>
  <si>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</si>
  <si>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</si>
  <si>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</si>
  <si>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</si>
  <si>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</si>
  <si>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</si>
  <si>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</si>
  <si>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</si>
  <si>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</si>
  <si>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</si>
  <si>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</si>
  <si>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</si>
  <si>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</si>
  <si>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</si>
  <si>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</si>
  <si>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</si>
  <si>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</si>
  <si>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</si>
  <si>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</si>
  <si>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</si>
  <si>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</si>
  <si>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</si>
  <si>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</si>
  <si>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</si>
  <si>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</si>
  <si>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</si>
  <si>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</si>
  <si>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</si>
  <si>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</si>
  <si>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</si>
  <si>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</si>
  <si>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</si>
  <si>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</si>
  <si>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</si>
  <si>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</si>
  <si>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</si>
  <si>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</si>
  <si>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</si>
  <si>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</si>
  <si>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</si>
  <si>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</si>
  <si>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</si>
  <si>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</si>
  <si>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</si>
  <si>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</si>
  <si>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</si>
  <si>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</si>
  <si>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</si>
  <si>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</si>
  <si>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</si>
  <si>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</si>
  <si>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</si>
  <si>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</si>
  <si>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</si>
  <si>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</si>
  <si>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</si>
  <si>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</si>
  <si>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</si>
  <si>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</si>
  <si>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</si>
  <si>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</si>
  <si>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</si>
  <si>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</si>
  <si>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</si>
  <si>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</si>
  <si>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</si>
  <si>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</si>
  <si>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</si>
  <si>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</si>
  <si>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</si>
  <si>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</si>
  <si>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</si>
  <si>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</si>
  <si>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</si>
  <si>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</si>
  <si>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</si>
  <si>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</si>
  <si>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</si>
  <si>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</si>
  <si>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</si>
  <si>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</si>
  <si>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</si>
  <si>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</si>
  <si>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</si>
  <si>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</si>
  <si>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</si>
  <si>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</si>
  <si>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</si>
  <si>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</si>
  <si>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</si>
  <si>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</si>
  <si>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</si>
  <si>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</si>
  <si>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</si>
  <si>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</si>
  <si>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</si>
  <si>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</si>
  <si>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</si>
  <si>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</si>
  <si>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</si>
  <si>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</si>
  <si>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</si>
  <si>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</si>
  <si>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</si>
  <si>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</si>
  <si>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</si>
  <si>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</si>
  <si>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</si>
  <si>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</si>
  <si>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</si>
  <si>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</si>
  <si>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</si>
  <si>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</si>
  <si>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</si>
  <si>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</si>
  <si>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</si>
  <si>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</si>
  <si>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</si>
  <si>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</si>
  <si>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</si>
  <si>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</si>
  <si>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</si>
  <si>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</si>
  <si>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</si>
  <si>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</si>
  <si>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</si>
  <si>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</si>
  <si>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</si>
  <si>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</si>
  <si>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</si>
  <si>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</si>
  <si>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</si>
  <si>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</si>
  <si>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</si>
  <si>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</si>
  <si>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</si>
  <si>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</si>
  <si>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</si>
  <si>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</si>
  <si>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</si>
  <si>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</si>
  <si>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</si>
  <si>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</si>
  <si>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</si>
  <si>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</si>
  <si>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</si>
  <si>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</si>
  <si>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</si>
  <si>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</si>
  <si>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</si>
  <si>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</si>
  <si>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</si>
  <si>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</si>
  <si>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</si>
  <si>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</si>
  <si>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</si>
  <si>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</si>
  <si>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</si>
  <si>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</si>
  <si>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</si>
  <si>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</si>
  <si>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</si>
  <si>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</si>
  <si>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</si>
  <si>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</si>
  <si>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</si>
  <si>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</si>
  <si>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</si>
  <si>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</si>
  <si>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</si>
  <si>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</si>
  <si>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</si>
  <si>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</si>
  <si>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</si>
  <si>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</si>
  <si>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</si>
  <si>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</si>
  <si>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</si>
  <si>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</si>
  <si>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</si>
  <si>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</si>
  <si>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</si>
  <si>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</si>
  <si>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</si>
  <si>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</si>
  <si>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</si>
  <si>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</si>
  <si>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</si>
  <si>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</si>
  <si>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</si>
  <si>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</si>
  <si>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</si>
  <si>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</si>
  <si>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</si>
  <si>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</si>
  <si>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</si>
  <si>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</si>
  <si>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</si>
  <si>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</si>
  <si>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</si>
  <si>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</si>
  <si>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</si>
  <si>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</si>
  <si>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</si>
  <si>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</si>
  <si>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</si>
  <si>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</si>
  <si>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</si>
  <si>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</si>
  <si>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</si>
  <si>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</si>
  <si>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</si>
  <si>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</si>
  <si>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</si>
  <si>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</si>
  <si>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</si>
  <si>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</si>
  <si>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</si>
  <si>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</si>
  <si>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</si>
  <si>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</si>
  <si>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</si>
  <si>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</si>
  <si>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</si>
  <si>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</si>
  <si>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</si>
  <si>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</si>
  <si>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</si>
  <si>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</si>
  <si>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</si>
  <si>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</si>
  <si>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</si>
  <si>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</si>
  <si>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</si>
  <si>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</si>
  <si>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</si>
  <si>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</si>
  <si>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</si>
  <si>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</si>
  <si>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</si>
  <si>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</si>
  <si>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</si>
  <si>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</si>
  <si>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</si>
  <si>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</si>
  <si>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</si>
  <si>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</si>
  <si>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</si>
  <si>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</si>
  <si>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</si>
  <si>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</si>
  <si>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</si>
  <si>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</si>
  <si>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</si>
  <si>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</si>
  <si>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</si>
  <si>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</si>
  <si>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</si>
  <si>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</si>
  <si>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</si>
  <si>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</si>
  <si>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</si>
  <si>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</si>
  <si>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</si>
  <si>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</si>
  <si>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</si>
  <si>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</si>
  <si>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</si>
  <si>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</si>
  <si>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</si>
  <si>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</si>
  <si>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</si>
  <si>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</si>
  <si>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</si>
  <si>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</si>
  <si>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</si>
  <si>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</si>
  <si>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</si>
  <si>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</si>
  <si>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</si>
  <si>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</si>
  <si>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</si>
  <si>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</si>
  <si>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</si>
  <si>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</si>
  <si>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</si>
  <si>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</si>
  <si>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</si>
  <si>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</si>
  <si>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</si>
  <si>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</si>
  <si>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</si>
  <si>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</si>
  <si>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</si>
  <si>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</si>
  <si>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</si>
  <si>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</si>
  <si>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</si>
  <si>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</si>
  <si>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</si>
  <si>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</si>
  <si>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</si>
  <si>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</si>
  <si>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</si>
  <si>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</si>
  <si>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</si>
  <si>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</si>
  <si>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</si>
  <si>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</si>
  <si>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</si>
  <si>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</si>
  <si>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</si>
  <si>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</si>
  <si>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</si>
  <si>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</si>
  <si>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</si>
  <si>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</si>
  <si>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</si>
  <si>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</si>
  <si>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</si>
  <si>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</si>
  <si>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</si>
  <si>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</si>
  <si>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</si>
  <si>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</si>
  <si>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</si>
  <si>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</si>
  <si>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</si>
  <si>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</si>
  <si>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</si>
  <si>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</si>
  <si>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</si>
  <si>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</si>
  <si>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</si>
  <si>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</si>
  <si>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</si>
  <si>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</si>
  <si>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</si>
  <si>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</si>
  <si>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</si>
  <si>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</si>
  <si>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</si>
  <si>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</si>
  <si>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</si>
  <si>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</si>
  <si>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</si>
  <si>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</si>
  <si>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</si>
  <si>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</si>
  <si>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</si>
  <si>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</si>
  <si>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</si>
  <si>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</si>
  <si>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</si>
  <si>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</si>
  <si>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</si>
  <si>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</si>
  <si>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</si>
  <si>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</si>
  <si>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</si>
  <si>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</si>
  <si>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</si>
  <si>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</si>
  <si>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</si>
  <si>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</si>
  <si>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</si>
  <si>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</si>
  <si>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</si>
  <si>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</si>
  <si>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</si>
  <si>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</si>
  <si>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</si>
  <si>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</si>
  <si>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</si>
  <si>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</si>
  <si>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</si>
  <si>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</si>
  <si>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</si>
  <si>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</si>
  <si>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</si>
  <si>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</si>
  <si>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</si>
  <si>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</si>
  <si>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</si>
  <si>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</si>
  <si>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</si>
  <si>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</si>
  <si>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</si>
  <si>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</si>
  <si>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</si>
  <si>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</si>
  <si>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</si>
  <si>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</si>
  <si>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</si>
  <si>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</si>
  <si>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</si>
  <si>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</si>
  <si>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</si>
  <si>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</si>
  <si>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</si>
  <si>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</si>
  <si>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</si>
  <si>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</si>
  <si>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</si>
  <si>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</si>
  <si>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</si>
  <si>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</si>
  <si>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</si>
  <si>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</si>
  <si>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</si>
  <si>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</si>
  <si>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</si>
  <si>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</si>
  <si>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</si>
  <si>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</si>
  <si>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</si>
  <si>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</si>
  <si>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</si>
  <si>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</si>
  <si>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</si>
  <si>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</si>
  <si>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</si>
  <si>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</si>
  <si>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</si>
  <si>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</si>
  <si>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</si>
  <si>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</si>
  <si>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</si>
  <si>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</si>
  <si>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</si>
  <si>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</si>
  <si>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</si>
  <si>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</si>
  <si>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</si>
  <si>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</si>
  <si>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</si>
  <si>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</si>
  <si>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</si>
  <si>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</si>
  <si>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</si>
  <si>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</si>
  <si>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</si>
  <si>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</si>
  <si>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</si>
  <si>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</si>
  <si>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</si>
  <si>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</si>
  <si>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</si>
  <si>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</si>
  <si>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</si>
  <si>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</si>
  <si>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</si>
  <si>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</si>
  <si>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</si>
  <si>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</si>
  <si>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</si>
  <si>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</si>
  <si>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</si>
  <si>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</si>
  <si>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</si>
  <si>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</si>
  <si>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</si>
  <si>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</si>
  <si>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</si>
  <si>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</si>
  <si>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</si>
  <si>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</si>
  <si>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</si>
  <si>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</si>
  <si>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</si>
  <si>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</si>
  <si>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</si>
  <si>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</si>
  <si>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</si>
  <si>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</si>
  <si>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</si>
  <si>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</si>
  <si>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</si>
  <si>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</si>
  <si>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</si>
  <si>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</si>
  <si>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</si>
  <si>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</si>
  <si>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</si>
  <si>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</si>
  <si>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</si>
  <si>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</si>
  <si>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</si>
  <si>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</si>
  <si>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</si>
  <si>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</si>
  <si>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</si>
  <si>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</si>
  <si>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</si>
  <si>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</si>
  <si>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</si>
  <si>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</si>
  <si>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</si>
  <si>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</si>
  <si>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</si>
  <si>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</si>
  <si>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</si>
  <si>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</si>
  <si>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</si>
  <si>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</si>
  <si>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</si>
  <si>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</si>
  <si>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</si>
  <si>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</si>
  <si>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</si>
  <si>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</si>
  <si>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</si>
  <si>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</si>
  <si>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</si>
  <si>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</si>
  <si>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</si>
  <si>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</si>
  <si>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</si>
  <si>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</si>
  <si>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</si>
  <si>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</si>
  <si>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</si>
  <si>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</si>
  <si>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</si>
  <si>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</si>
  <si>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</si>
  <si>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</si>
  <si>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</si>
  <si>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</si>
  <si>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</si>
  <si>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</si>
  <si>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</si>
  <si>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</si>
  <si>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</si>
  <si>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</si>
  <si>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</si>
  <si>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</si>
  <si>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</si>
  <si>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</si>
  <si>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</si>
  <si>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</si>
  <si>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</si>
  <si>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</si>
  <si>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</si>
  <si>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</si>
  <si>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</si>
  <si>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</si>
  <si>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</si>
  <si>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</si>
  <si>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</si>
  <si>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</si>
  <si>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</si>
  <si>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</si>
  <si>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</si>
  <si>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</si>
  <si>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</si>
  <si>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</si>
  <si>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</si>
  <si>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</si>
  <si>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</si>
  <si>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</si>
  <si>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</si>
  <si>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</si>
  <si>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</si>
  <si>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</si>
  <si>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</si>
  <si>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</si>
  <si>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</si>
  <si>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</si>
  <si>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</si>
  <si>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</si>
  <si>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</si>
  <si>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</si>
  <si>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</si>
  <si>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</si>
  <si>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</si>
  <si>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</si>
  <si>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</si>
  <si>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</si>
  <si>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</si>
  <si>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</si>
  <si>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</si>
  <si>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</si>
  <si>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</si>
  <si>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</si>
  <si>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</si>
  <si>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</si>
  <si>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</si>
  <si>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</si>
  <si>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</si>
  <si>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</si>
  <si>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</si>
  <si>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</si>
  <si>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</si>
  <si>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</si>
  <si>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</si>
  <si>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</si>
  <si>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</si>
  <si>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</si>
  <si>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</si>
  <si>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</si>
  <si>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</si>
  <si>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</si>
  <si>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</si>
  <si>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</si>
  <si>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</si>
  <si>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</si>
  <si>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</si>
  <si>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</si>
  <si>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</si>
  <si>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</si>
  <si>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</si>
  <si>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</si>
  <si>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</si>
  <si>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</si>
  <si>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</si>
  <si>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</si>
  <si>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</si>
  <si>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</si>
  <si>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</si>
  <si>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</si>
  <si>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</si>
  <si>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</si>
  <si>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</si>
  <si>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</si>
  <si>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</si>
  <si>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</si>
  <si>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</si>
  <si>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</si>
  <si>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</si>
  <si>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</si>
  <si>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</si>
  <si>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</si>
  <si>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</si>
  <si>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</si>
  <si>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</si>
  <si>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</si>
  <si>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</si>
  <si>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</si>
  <si>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</si>
  <si>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</si>
  <si>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</si>
  <si>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</si>
  <si>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</si>
  <si>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</si>
  <si>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</si>
  <si>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</si>
  <si>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</si>
  <si>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</si>
  <si>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</si>
  <si>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</si>
  <si>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</si>
  <si>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</si>
  <si>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</si>
  <si>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</si>
  <si>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</si>
  <si>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</si>
  <si>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</si>
  <si>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</si>
  <si>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</si>
  <si>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</si>
  <si>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</si>
  <si>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</si>
  <si>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</si>
  <si>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</si>
  <si>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</si>
  <si>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</si>
  <si>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</si>
  <si>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</si>
  <si>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</si>
  <si>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</si>
  <si>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</si>
  <si>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</si>
  <si>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</si>
  <si>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</si>
  <si>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</si>
  <si>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</si>
  <si>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</si>
  <si>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</si>
  <si>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</si>
  <si>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</si>
  <si>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</si>
  <si>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</si>
  <si>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</si>
  <si>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</si>
  <si>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</si>
  <si>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</si>
  <si>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</si>
  <si>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</si>
  <si>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</si>
  <si>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</si>
  <si>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</si>
  <si>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</si>
  <si>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</si>
  <si>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</si>
  <si>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</si>
  <si>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</si>
  <si>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</si>
  <si>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</si>
  <si>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</si>
  <si>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</si>
  <si>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</si>
  <si>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</si>
  <si>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</si>
  <si>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</si>
  <si>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</si>
  <si>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</si>
  <si>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</si>
  <si>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</si>
  <si>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</si>
  <si>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</si>
  <si>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</si>
  <si>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</si>
  <si>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</si>
  <si>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</si>
  <si>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</si>
  <si>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</si>
  <si>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</si>
  <si>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</si>
  <si>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</si>
  <si>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</si>
  <si>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</si>
  <si>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</si>
  <si>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</si>
  <si>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</si>
  <si>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</si>
  <si>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</si>
  <si>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</si>
  <si>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</si>
  <si>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</si>
  <si>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</si>
  <si>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</si>
  <si>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</si>
  <si>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</si>
  <si>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</si>
  <si>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</si>
  <si>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</si>
  <si>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</si>
  <si>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</si>
  <si>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</si>
  <si>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</si>
  <si>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</si>
  <si>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</si>
  <si>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</si>
  <si>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</si>
  <si>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</si>
  <si>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</si>
  <si>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</si>
  <si>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</si>
  <si>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</si>
  <si>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</si>
  <si>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</si>
  <si>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</si>
  <si>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</si>
  <si>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</si>
  <si>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</si>
  <si>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</si>
  <si>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</si>
  <si>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</si>
  <si>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</si>
  <si>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</si>
  <si>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</si>
  <si>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</si>
  <si>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</si>
  <si>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</si>
  <si>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</si>
  <si>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</si>
  <si>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</si>
  <si>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</si>
  <si>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</si>
  <si>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</si>
  <si>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</si>
  <si>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</si>
  <si>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</si>
  <si>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</si>
  <si>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</si>
  <si>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</si>
  <si>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</si>
  <si>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</si>
  <si>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</si>
  <si>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</si>
  <si>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</si>
  <si>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</si>
  <si>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</si>
  <si>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</si>
  <si>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</si>
  <si>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</si>
  <si>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</si>
  <si>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</si>
  <si>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</si>
  <si>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</si>
  <si>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</si>
  <si>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</si>
  <si>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</si>
  <si>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</si>
  <si>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</si>
  <si>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</si>
  <si>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</si>
  <si>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</si>
  <si>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</si>
  <si>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</si>
  <si>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</si>
  <si>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</si>
  <si>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</si>
  <si>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</si>
  <si>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</si>
  <si>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</si>
  <si>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</si>
  <si>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</si>
  <si>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</si>
  <si>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</si>
  <si>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</si>
  <si>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</si>
  <si>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</si>
  <si>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</si>
  <si>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</si>
  <si>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</si>
  <si>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</si>
  <si>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</si>
  <si>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</si>
  <si>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</si>
  <si>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</si>
  <si>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</si>
  <si>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</si>
  <si>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</si>
  <si>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</si>
  <si>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</si>
  <si>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</si>
  <si>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</si>
  <si>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</si>
  <si>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</si>
  <si>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</si>
  <si>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</si>
  <si>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</si>
  <si>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</si>
  <si>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</si>
  <si>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</si>
  <si>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</si>
  <si>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</si>
  <si>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</si>
  <si>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</si>
  <si>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</si>
  <si>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</si>
  <si>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</si>
  <si>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</si>
  <si>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</si>
  <si>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</si>
  <si>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</si>
  <si>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</si>
  <si>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</si>
  <si>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</si>
  <si>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</si>
  <si>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</si>
  <si>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</si>
  <si>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</si>
  <si>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</si>
  <si>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</si>
  <si>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</si>
  <si>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</si>
  <si>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</si>
  <si>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</si>
  <si>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</si>
  <si>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</si>
  <si>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</si>
  <si>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</si>
  <si>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</si>
  <si>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</si>
  <si>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</si>
  <si>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</si>
  <si>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</si>
  <si>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</si>
  <si>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</si>
  <si>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</si>
  <si>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</si>
  <si>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</si>
  <si>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</si>
  <si>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</si>
  <si>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</si>
  <si>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</si>
  <si>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</si>
  <si>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</si>
  <si>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</si>
  <si>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</si>
  <si>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</si>
  <si>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</si>
  <si>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</si>
  <si>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</si>
  <si>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</si>
  <si>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</si>
  <si>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</si>
  <si>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</si>
  <si>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</si>
  <si>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</si>
  <si>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</si>
  <si>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</si>
  <si>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</si>
  <si>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</si>
  <si>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</si>
  <si>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</si>
  <si>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</si>
  <si>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</si>
  <si>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</si>
  <si>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</si>
  <si>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</si>
  <si>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</si>
  <si>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</si>
  <si>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</si>
  <si>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</si>
  <si>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</si>
  <si>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</si>
  <si>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</si>
  <si>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</si>
  <si>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</si>
  <si>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</si>
  <si>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</si>
  <si>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</si>
  <si>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</si>
  <si>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</si>
  <si>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</si>
  <si>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</si>
  <si>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</si>
  <si>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</si>
  <si>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</si>
  <si>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</si>
  <si>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</si>
  <si>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</si>
  <si>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</si>
  <si>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</si>
  <si>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</si>
  <si>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</si>
  <si>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</si>
  <si>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</si>
  <si>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</si>
  <si>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</si>
  <si>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</si>
  <si>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</si>
  <si>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</si>
  <si>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</si>
  <si>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</si>
  <si>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</si>
  <si>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</si>
  <si>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</si>
  <si>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</si>
  <si>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</si>
  <si>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</si>
  <si>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</si>
  <si>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</si>
  <si>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</si>
  <si>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</si>
  <si>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</si>
  <si>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</si>
  <si>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</si>
  <si>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</si>
  <si>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</si>
  <si>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</si>
  <si>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</si>
  <si>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</si>
  <si>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</si>
  <si>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</si>
  <si>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</si>
  <si>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</si>
  <si>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</si>
  <si>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</si>
  <si>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</si>
  <si>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</si>
  <si>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</si>
  <si>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</si>
  <si>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</si>
  <si>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</si>
  <si>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</si>
  <si>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</si>
  <si>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</si>
  <si>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</si>
  <si>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</si>
  <si>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</si>
  <si>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</si>
  <si>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</si>
  <si>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</si>
  <si>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</si>
  <si>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</si>
  <si>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</si>
  <si>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</si>
  <si>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</si>
  <si>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</si>
  <si>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</si>
  <si>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</si>
  <si>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</si>
  <si>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</si>
  <si>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</si>
  <si>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</si>
  <si>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</si>
  <si>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</si>
  <si>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</si>
  <si>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</si>
  <si>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</si>
  <si>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</si>
  <si>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</si>
  <si>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</si>
  <si>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</si>
  <si>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</si>
  <si>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</si>
  <si>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</si>
  <si>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</si>
  <si>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</si>
  <si>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</si>
  <si>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</si>
  <si>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</si>
  <si>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</si>
  <si>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</si>
  <si>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</si>
  <si>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</si>
  <si>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</si>
  <si>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</si>
  <si>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</si>
  <si>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</si>
  <si>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</si>
  <si>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</si>
  <si>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</si>
  <si>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</si>
  <si>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</si>
  <si>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</si>
  <si>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</si>
  <si>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</si>
  <si>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</si>
  <si>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</si>
  <si>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</si>
  <si>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</si>
  <si>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</si>
  <si>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</si>
  <si>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</si>
  <si>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</si>
  <si>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</si>
  <si>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</si>
  <si>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</si>
  <si>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</si>
  <si>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</si>
  <si>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</si>
  <si>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</si>
  <si>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</si>
  <si>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</si>
  <si>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</si>
  <si>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</si>
  <si>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</si>
  <si>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</si>
  <si>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</si>
  <si>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</si>
  <si>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</si>
  <si>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</si>
  <si>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</si>
  <si>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</si>
  <si>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</si>
  <si>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</si>
  <si>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</si>
  <si>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</si>
  <si>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</si>
  <si>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</si>
  <si>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</si>
  <si>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</si>
  <si>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</si>
  <si>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</si>
  <si>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</si>
  <si>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</si>
  <si>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</si>
  <si>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</si>
  <si>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</si>
  <si>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</si>
  <si>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</si>
  <si>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</si>
  <si>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</si>
  <si>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</si>
  <si>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</si>
  <si>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</si>
  <si>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</si>
  <si>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</si>
  <si>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</si>
  <si>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</si>
  <si>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</si>
  <si>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</si>
  <si>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</si>
  <si>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</si>
  <si>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</si>
  <si>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</si>
  <si>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</si>
  <si>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</si>
  <si>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</si>
  <si>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</si>
  <si>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</si>
  <si>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</si>
  <si>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</si>
  <si>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</si>
  <si>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</si>
  <si>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</si>
  <si>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</si>
  <si>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</si>
  <si>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</si>
  <si>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</si>
  <si>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</si>
  <si>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</si>
  <si>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</si>
  <si>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</si>
  <si>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</si>
  <si>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</si>
  <si>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</si>
  <si>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</si>
  <si>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</si>
  <si>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</si>
  <si>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</si>
  <si>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</si>
  <si>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</si>
  <si>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</si>
  <si>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</si>
  <si>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</si>
  <si>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</si>
  <si>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</si>
  <si>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</si>
  <si>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</si>
  <si>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</si>
  <si>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</si>
  <si>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</si>
  <si>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</si>
  <si>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</si>
  <si>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</si>
  <si>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</si>
  <si>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</si>
  <si>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</si>
  <si>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</si>
  <si>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</si>
  <si>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</si>
  <si>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</si>
  <si>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</si>
  <si>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</si>
  <si>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</si>
  <si>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</si>
  <si>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</si>
  <si>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</si>
  <si>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</si>
  <si>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</si>
  <si>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</si>
  <si>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</si>
  <si>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</si>
  <si>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</si>
  <si>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</si>
  <si>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</si>
  <si>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</si>
  <si>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</si>
  <si>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</si>
  <si>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</si>
  <si>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</si>
  <si>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</si>
  <si>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</si>
  <si>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</si>
  <si>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</si>
  <si>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</si>
  <si>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</si>
  <si>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</si>
  <si>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</si>
  <si>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</si>
  <si>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</si>
  <si>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</si>
  <si>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</si>
  <si>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</si>
  <si>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</si>
  <si>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</si>
  <si>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</si>
  <si>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</si>
  <si>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</si>
  <si>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</si>
  <si>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</si>
  <si>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</si>
  <si>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</si>
  <si>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</si>
  <si>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</si>
  <si>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</si>
  <si>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</si>
  <si>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</si>
  <si>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</si>
  <si>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</si>
  <si>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</si>
  <si>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</si>
  <si>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</si>
  <si>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</si>
  <si>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</si>
  <si>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</si>
  <si>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</si>
  <si>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</si>
  <si>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</si>
  <si>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</si>
  <si>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</si>
  <si>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</si>
  <si>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</si>
  <si>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</si>
  <si>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</si>
  <si>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</si>
  <si>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</si>
  <si>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</si>
  <si>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</si>
  <si>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</si>
  <si>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</si>
  <si>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</si>
  <si>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</si>
  <si>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</si>
  <si>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</si>
  <si>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</si>
  <si>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</si>
  <si>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</si>
  <si>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</si>
  <si>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</si>
  <si>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</si>
  <si>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</si>
  <si>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</si>
  <si>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</si>
  <si>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</si>
  <si>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</si>
  <si>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</si>
  <si>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</si>
  <si>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</si>
  <si>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</si>
  <si>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</si>
  <si>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</si>
  <si>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</si>
  <si>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</si>
  <si>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</si>
  <si>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</si>
  <si>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</si>
  <si>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</si>
  <si>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</si>
  <si>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</si>
  <si>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</si>
  <si>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</si>
  <si>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</si>
  <si>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</si>
  <si>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</si>
  <si>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</si>
  <si>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</si>
  <si>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</si>
  <si>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</si>
  <si>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</si>
  <si>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</si>
  <si>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</si>
  <si>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</si>
  <si>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</si>
  <si>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</si>
  <si>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</si>
  <si>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</si>
  <si>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</si>
  <si>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</si>
  <si>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</si>
  <si>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</si>
  <si>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</si>
  <si>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</si>
  <si>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</si>
  <si>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</si>
  <si>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</si>
  <si>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</si>
  <si>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</si>
  <si>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</si>
  <si>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</si>
  <si>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</si>
  <si>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</si>
  <si>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</si>
  <si>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</si>
  <si>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</si>
  <si>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</si>
  <si>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</si>
  <si>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</si>
  <si>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</si>
  <si>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</si>
  <si>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</si>
  <si>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</si>
  <si>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</si>
  <si>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</si>
  <si>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</si>
  <si>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</si>
  <si>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</si>
  <si>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</si>
  <si>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</si>
  <si>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</si>
  <si>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</si>
  <si>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</si>
  <si>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</si>
  <si>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</si>
  <si>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</si>
  <si>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</si>
  <si>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</si>
  <si>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</si>
  <si>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</si>
  <si>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</si>
  <si>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</si>
  <si>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</si>
  <si>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</si>
  <si>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</si>
  <si>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</si>
  <si>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</si>
  <si>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</si>
  <si>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</si>
  <si>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</si>
  <si>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</si>
  <si>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</si>
  <si>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</si>
  <si>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</si>
  <si>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</si>
  <si>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</si>
  <si>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</si>
  <si>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</si>
  <si>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</si>
  <si>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</si>
  <si>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</si>
  <si>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</si>
  <si>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</si>
  <si>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</si>
  <si>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</si>
  <si>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</si>
  <si>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</si>
  <si>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</si>
  <si>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</si>
  <si>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</si>
  <si>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</si>
  <si>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</si>
  <si>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</si>
  <si>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</si>
  <si>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</si>
  <si>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</si>
  <si>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</si>
  <si>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</si>
  <si>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</si>
  <si>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</si>
  <si>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</si>
  <si>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</si>
  <si>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</si>
  <si>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</si>
  <si>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</si>
  <si>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</si>
  <si>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</si>
  <si>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</si>
  <si>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</si>
  <si>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</si>
  <si>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</si>
  <si>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</si>
  <si>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</si>
  <si>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</si>
  <si>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</si>
  <si>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</si>
  <si>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</si>
  <si>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</si>
  <si>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</si>
  <si>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</si>
  <si>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</si>
  <si>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</si>
  <si>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</si>
  <si>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</si>
  <si>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</si>
  <si>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</si>
  <si>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</si>
  <si>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</si>
  <si>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</si>
  <si>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</si>
  <si>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</si>
  <si>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</si>
  <si>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</si>
  <si>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</si>
  <si>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</si>
  <si>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</si>
  <si>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</si>
  <si>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</si>
  <si>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</si>
  <si>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</si>
  <si>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</si>
  <si>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</si>
  <si>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</si>
  <si>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</si>
  <si>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</si>
  <si>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</si>
  <si>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</si>
  <si>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</si>
  <si>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</si>
  <si>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</si>
  <si>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</si>
  <si>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</si>
  <si>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</si>
  <si>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</si>
  <si>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</si>
  <si>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</si>
  <si>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</si>
  <si>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</si>
  <si>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</si>
  <si>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</si>
  <si>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</si>
  <si>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</si>
  <si>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</si>
  <si>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</si>
  <si>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</si>
  <si>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</si>
  <si>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</si>
  <si>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</si>
  <si>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</si>
  <si>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</si>
  <si>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</si>
  <si>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</si>
  <si>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</si>
  <si>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</si>
  <si>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</si>
  <si>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</si>
  <si>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</si>
  <si>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</si>
  <si>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</si>
  <si>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</si>
  <si>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</si>
  <si>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</si>
  <si>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</si>
  <si>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</si>
  <si>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</si>
  <si>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</si>
  <si>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</si>
  <si>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</si>
  <si>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</si>
  <si>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</si>
  <si>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</si>
  <si>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</si>
  <si>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</si>
  <si>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</si>
  <si>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</si>
  <si>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</si>
  <si>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</si>
  <si>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</si>
  <si>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</si>
  <si>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</si>
  <si>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</si>
  <si>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</si>
  <si>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</si>
  <si>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</si>
  <si>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</si>
  <si>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</si>
  <si>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</si>
  <si>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</si>
  <si>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</si>
  <si>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</si>
  <si>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</si>
  <si>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</si>
  <si>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</si>
  <si>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</si>
  <si>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</si>
  <si>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</si>
  <si>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</si>
  <si>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</si>
  <si>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</si>
  <si>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</si>
  <si>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</si>
  <si>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</si>
  <si>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</si>
  <si>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</si>
  <si>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</si>
  <si>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</si>
  <si>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</si>
  <si>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</si>
  <si>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</si>
  <si>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</si>
  <si>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</si>
  <si>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</si>
  <si>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</si>
  <si>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</si>
  <si>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</si>
  <si>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</si>
  <si>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</si>
  <si>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</si>
  <si>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</si>
  <si>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</si>
  <si>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</si>
  <si>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</si>
  <si>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</si>
  <si>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</si>
  <si>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</si>
  <si>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</si>
  <si>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</si>
  <si>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</si>
  <si>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</si>
  <si>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</si>
  <si>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</si>
  <si>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</si>
  <si>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</si>
  <si>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</si>
  <si>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</si>
  <si>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</si>
  <si>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</si>
  <si>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</si>
  <si>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</si>
  <si>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</si>
  <si>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</si>
  <si>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</si>
  <si>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</si>
  <si>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</si>
  <si>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</si>
  <si>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</si>
  <si>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</si>
  <si>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</si>
  <si>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</si>
  <si>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</si>
  <si>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</si>
  <si>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</si>
  <si>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</si>
  <si>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</si>
  <si>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</si>
  <si>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</si>
  <si>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</si>
  <si>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</si>
  <si>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</si>
  <si>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</si>
  <si>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</si>
  <si>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</si>
  <si>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</si>
  <si>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</si>
  <si>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</si>
  <si>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</si>
  <si>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</si>
  <si>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</si>
  <si>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</si>
  <si>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</si>
  <si>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</si>
  <si>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</si>
  <si>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</si>
  <si>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</si>
  <si>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</si>
  <si>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</si>
  <si>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</si>
  <si>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</si>
  <si>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</si>
  <si>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</si>
  <si>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</si>
  <si>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</si>
  <si>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</si>
  <si>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</si>
  <si>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</si>
  <si>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</si>
  <si>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</si>
  <si>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</si>
  <si>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</si>
  <si>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</si>
  <si>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</si>
  <si>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</si>
  <si>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</si>
  <si>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</si>
  <si>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</si>
  <si>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</si>
  <si>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</si>
  <si>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</si>
  <si>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</si>
  <si>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</si>
  <si>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</si>
  <si>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</si>
  <si>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</si>
  <si>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</si>
  <si>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</si>
  <si>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</si>
  <si>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</si>
  <si>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</si>
  <si>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</si>
  <si>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</si>
  <si>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</si>
  <si>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</si>
  <si>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</si>
  <si>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</si>
  <si>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</si>
  <si>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</si>
  <si>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</si>
  <si>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</si>
  <si>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</si>
  <si>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</si>
  <si>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</si>
  <si>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</si>
  <si>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</si>
  <si>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</si>
  <si>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</si>
  <si>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</si>
  <si>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</si>
  <si>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</si>
  <si>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</si>
  <si>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</si>
  <si>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</si>
  <si>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</si>
  <si>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</si>
  <si>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</si>
  <si>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</si>
  <si>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</si>
  <si>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</si>
  <si>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</si>
  <si>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</si>
  <si>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</si>
  <si>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</si>
  <si>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</si>
  <si>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</si>
  <si>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</si>
  <si>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</si>
  <si>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</si>
  <si>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</si>
  <si>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</si>
  <si>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</si>
  <si>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</si>
  <si>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</si>
  <si>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</si>
  <si>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</si>
  <si>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</si>
  <si>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</si>
  <si>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</si>
  <si>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</si>
  <si>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</si>
  <si>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</si>
  <si>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</si>
  <si>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</si>
  <si>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</si>
  <si>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</si>
  <si>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</si>
  <si>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</si>
  <si>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</si>
  <si>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</si>
  <si>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</si>
  <si>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</si>
  <si>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</si>
  <si>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</si>
  <si>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</si>
  <si>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</si>
  <si>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</si>
  <si>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</si>
  <si>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</si>
  <si>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</si>
  <si>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</si>
  <si>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</si>
  <si>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</si>
  <si>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</si>
  <si>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</si>
  <si>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</si>
  <si>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</si>
  <si>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</si>
  <si>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</si>
  <si>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</si>
  <si>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</si>
  <si>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</si>
  <si>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</si>
  <si>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</si>
  <si>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</si>
  <si>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</si>
  <si>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</si>
  <si>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</si>
  <si>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</si>
  <si>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</si>
  <si>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</si>
  <si>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</si>
  <si>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</si>
  <si>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</si>
  <si>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</si>
  <si>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</si>
  <si>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</si>
  <si>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</si>
  <si>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</si>
  <si>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</si>
  <si>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</si>
  <si>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</si>
  <si>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</si>
  <si>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</si>
  <si>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</si>
  <si>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</si>
  <si>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</si>
  <si>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</si>
  <si>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</si>
  <si>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</si>
  <si>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</si>
  <si>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</si>
  <si>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</si>
  <si>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</si>
  <si>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</si>
  <si>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</si>
  <si>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</si>
  <si>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</si>
  <si>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</si>
  <si>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</si>
  <si>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</si>
  <si>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</si>
  <si>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</si>
  <si>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</si>
  <si>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</si>
  <si>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</si>
  <si>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</si>
  <si>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</si>
  <si>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</si>
  <si>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</si>
  <si>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</si>
  <si>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</si>
  <si>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</si>
  <si>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</si>
  <si>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</si>
  <si>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</si>
  <si>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</si>
  <si>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</si>
  <si>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</si>
  <si>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</si>
  <si>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</si>
  <si>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</si>
  <si>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</si>
  <si>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</si>
  <si>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</si>
  <si>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</si>
  <si>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</si>
  <si>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</si>
  <si>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</si>
  <si>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</si>
  <si>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</si>
  <si>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</si>
  <si>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</si>
  <si>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</si>
  <si>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</si>
  <si>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</si>
  <si>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</si>
  <si>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</si>
  <si>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</si>
  <si>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</si>
  <si>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</si>
  <si>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</si>
  <si>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</si>
  <si>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</si>
  <si>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</si>
  <si>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</si>
  <si>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</si>
  <si>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</si>
  <si>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</si>
  <si>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</si>
  <si>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</si>
  <si>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</si>
  <si>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</si>
  <si>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</si>
  <si>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</si>
  <si>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</si>
  <si>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</si>
  <si>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</si>
  <si>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</si>
  <si>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</si>
  <si>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</si>
  <si>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</si>
  <si>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</si>
  <si>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</si>
  <si>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</si>
  <si>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</si>
  <si>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</si>
  <si>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</si>
  <si>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</si>
  <si>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</si>
  <si>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</si>
  <si>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</si>
  <si>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</si>
  <si>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</si>
  <si>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</si>
  <si>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</si>
  <si>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</si>
  <si>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</si>
  <si>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</si>
  <si>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</si>
  <si>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</si>
  <si>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</si>
  <si>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</si>
  <si>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</si>
  <si>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</si>
  <si>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</si>
  <si>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</si>
  <si>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</si>
  <si>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</si>
  <si>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</si>
  <si>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</si>
  <si>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</si>
  <si>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</si>
  <si>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</si>
  <si>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</si>
  <si>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</si>
  <si>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</si>
  <si>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</si>
  <si>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</si>
  <si>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</si>
  <si>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</si>
  <si>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</si>
  <si>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</si>
  <si>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</si>
  <si>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</si>
  <si>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</si>
  <si>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</si>
  <si>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</si>
  <si>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</si>
  <si>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</si>
  <si>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</si>
  <si>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</si>
  <si>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</si>
  <si>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</si>
  <si>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</si>
  <si>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</si>
  <si>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</si>
  <si>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</si>
  <si>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</si>
  <si>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</si>
  <si>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</si>
  <si>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</si>
  <si>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</si>
  <si>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</si>
  <si>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</si>
  <si>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</si>
  <si>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</si>
  <si>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</si>
  <si>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</si>
  <si>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</si>
  <si>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</si>
  <si>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</si>
  <si>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</si>
  <si>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</si>
  <si>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</si>
  <si>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</si>
  <si>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</si>
  <si>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</si>
  <si>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</si>
  <si>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</si>
  <si>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</si>
  <si>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</si>
  <si>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</si>
  <si>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</si>
  <si>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</si>
  <si>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</si>
  <si>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</si>
  <si>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</si>
  <si>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</si>
  <si>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</si>
  <si>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</si>
  <si>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</si>
  <si>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</si>
  <si>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</si>
  <si>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</si>
  <si>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</si>
  <si>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</si>
  <si>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</si>
  <si>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</si>
  <si>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</si>
  <si>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</si>
  <si>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</si>
  <si>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</si>
  <si>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</si>
  <si>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</si>
  <si>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</si>
  <si>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</si>
  <si>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</si>
  <si>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</si>
  <si>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</si>
  <si>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</si>
  <si>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</si>
  <si>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</si>
  <si>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</si>
  <si>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</si>
  <si>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</si>
  <si>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</si>
  <si>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</si>
  <si>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</si>
  <si>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</si>
  <si>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</si>
  <si>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</si>
  <si>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</si>
  <si>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</si>
  <si>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</si>
  <si>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</si>
  <si>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</si>
  <si>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</si>
  <si>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</si>
  <si>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</si>
  <si>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</si>
  <si>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</si>
  <si>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</si>
  <si>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</si>
  <si>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</si>
  <si>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</si>
  <si>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</si>
  <si>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</si>
  <si>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</si>
  <si>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</si>
  <si>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</si>
  <si>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</si>
  <si>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</si>
  <si>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</si>
  <si>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</si>
  <si>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</si>
  <si>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</si>
  <si>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</si>
  <si>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</si>
  <si>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</si>
  <si>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</si>
  <si>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</si>
  <si>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</si>
  <si>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</si>
  <si>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</si>
  <si>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</si>
  <si>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</si>
  <si>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</si>
  <si>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</si>
  <si>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</si>
  <si>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</si>
  <si>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</si>
  <si>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</si>
  <si>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</si>
  <si>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</si>
  <si>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</si>
  <si>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</si>
  <si>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</si>
  <si>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</si>
  <si>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</si>
  <si>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</si>
  <si>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</si>
  <si>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</si>
  <si>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</si>
  <si>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</si>
  <si>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</si>
  <si>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</si>
  <si>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</si>
  <si>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</si>
  <si>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</si>
  <si>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</si>
  <si>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</si>
  <si>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</si>
  <si>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</si>
  <si>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</si>
  <si>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</si>
  <si>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</si>
  <si>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</si>
  <si>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</si>
  <si>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</si>
  <si>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</si>
  <si>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</si>
  <si>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</si>
  <si>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</si>
  <si>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</si>
  <si>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</si>
  <si>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</si>
  <si>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</si>
  <si>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</si>
  <si>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</si>
  <si>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</si>
  <si>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</si>
  <si>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</si>
  <si>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</si>
  <si>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</si>
  <si>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</si>
  <si>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</si>
  <si>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</si>
  <si>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</si>
  <si>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</si>
  <si>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</si>
  <si>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</si>
  <si>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</si>
  <si>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</si>
  <si>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</si>
  <si>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</si>
  <si>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</si>
  <si>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</si>
  <si>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</si>
  <si>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</si>
  <si>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</si>
  <si>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</si>
  <si>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</si>
  <si>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</si>
  <si>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</si>
  <si>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</si>
  <si>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</si>
  <si>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</si>
  <si>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</si>
  <si>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</si>
  <si>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</si>
  <si>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</si>
  <si>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</si>
  <si>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</si>
  <si>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</si>
  <si>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</si>
  <si>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</si>
  <si>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</si>
  <si>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</si>
  <si>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</si>
  <si>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</si>
  <si>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</si>
  <si>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</si>
  <si>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</si>
  <si>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</si>
  <si>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</si>
  <si>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</si>
  <si>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</si>
  <si>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</si>
  <si>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</si>
  <si>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</si>
  <si>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</si>
  <si>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</si>
  <si>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</si>
  <si>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</si>
  <si>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</si>
  <si>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</si>
  <si>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</si>
  <si>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</si>
  <si>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</si>
  <si>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</si>
  <si>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</si>
  <si>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</si>
  <si>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</si>
  <si>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</si>
  <si>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</si>
  <si>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</si>
  <si>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</si>
  <si>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</si>
  <si>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</si>
  <si>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</si>
  <si>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</si>
  <si>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</si>
  <si>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</si>
  <si>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</si>
  <si>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</si>
  <si>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</si>
  <si>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</si>
  <si>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</si>
  <si>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</si>
  <si>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</si>
  <si>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</si>
  <si>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</si>
  <si>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</si>
  <si>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</si>
  <si>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</si>
  <si>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</si>
  <si>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</si>
  <si>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</si>
  <si>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</si>
  <si>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</si>
  <si>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</si>
  <si>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</si>
  <si>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</si>
  <si>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</si>
  <si>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</si>
  <si>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</si>
  <si>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</si>
  <si>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</si>
  <si>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</si>
  <si>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</si>
  <si>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</si>
  <si>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</si>
  <si>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</si>
  <si>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</si>
  <si>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</si>
  <si>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</si>
  <si>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</si>
  <si>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</si>
  <si>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</si>
  <si>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</si>
  <si>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</si>
  <si>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</si>
  <si>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</si>
  <si>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</si>
  <si>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</si>
  <si>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</si>
  <si>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</si>
  <si>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</si>
  <si>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</si>
  <si>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</si>
  <si>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</si>
  <si>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</si>
  <si>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</si>
  <si>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</si>
  <si>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</si>
  <si>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</si>
  <si>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</si>
  <si>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</si>
  <si>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</si>
  <si>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</si>
  <si>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</si>
  <si>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</si>
  <si>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</si>
  <si>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</si>
  <si>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</si>
  <si>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</si>
  <si>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</si>
  <si>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</si>
  <si>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</si>
  <si>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</si>
  <si>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</si>
  <si>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</si>
  <si>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</si>
  <si>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</si>
  <si>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</si>
  <si>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</si>
  <si>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</si>
  <si>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</si>
  <si>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</si>
  <si>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</si>
  <si>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</si>
  <si>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</si>
  <si>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</si>
  <si>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</si>
  <si>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</si>
  <si>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</si>
  <si>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</si>
  <si>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</si>
  <si>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</si>
  <si>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</si>
  <si>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</si>
  <si>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</si>
  <si>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</si>
  <si>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</si>
  <si>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</si>
  <si>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</si>
  <si>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</si>
  <si>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</si>
  <si>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</si>
  <si>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</si>
  <si>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</si>
  <si>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</si>
  <si>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</si>
  <si>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</si>
  <si>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</si>
  <si>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</si>
  <si>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</si>
  <si>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</si>
  <si>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</si>
  <si>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</si>
  <si>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</si>
  <si>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</si>
  <si>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</si>
  <si>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</si>
  <si>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</si>
  <si>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</si>
  <si>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</si>
  <si>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</si>
  <si>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</si>
  <si>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</si>
  <si>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</si>
  <si>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</si>
  <si>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</si>
  <si>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</si>
  <si>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</si>
  <si>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</si>
  <si>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</si>
  <si>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</si>
  <si>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</si>
  <si>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</si>
  <si>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</si>
  <si>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</si>
  <si>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</si>
  <si>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</si>
  <si>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</si>
  <si>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</si>
  <si>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</si>
  <si>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</si>
  <si>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</si>
  <si>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</si>
  <si>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</si>
  <si>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</si>
  <si>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</si>
  <si>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</si>
  <si>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</si>
  <si>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</si>
  <si>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</si>
  <si>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</si>
  <si>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</si>
  <si>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</si>
  <si>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</si>
  <si>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</si>
  <si>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</si>
  <si>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</si>
  <si>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</si>
  <si>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</si>
  <si>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</si>
  <si>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</si>
  <si>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</si>
  <si>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</si>
  <si>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</si>
  <si>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</si>
  <si>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</si>
  <si>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</si>
  <si>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</si>
  <si>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</si>
  <si>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</si>
  <si>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</si>
  <si>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</si>
  <si>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</si>
  <si>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</si>
  <si>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</si>
  <si>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</si>
  <si>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</si>
  <si>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</si>
  <si>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</si>
  <si>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</si>
  <si>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</si>
  <si>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</si>
  <si>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</si>
  <si>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</si>
  <si>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</si>
  <si>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</si>
  <si>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</si>
  <si>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</si>
  <si>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</si>
  <si>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</si>
  <si>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</si>
  <si>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</si>
  <si>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</si>
  <si>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</si>
  <si>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</si>
  <si>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</si>
  <si>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</si>
  <si>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</si>
  <si>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</si>
  <si>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</si>
  <si>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</si>
  <si>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</si>
  <si>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</si>
  <si>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</si>
  <si>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</si>
  <si>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</si>
  <si>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</si>
  <si>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</si>
  <si>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</si>
  <si>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</si>
  <si>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</si>
  <si>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</si>
  <si>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</si>
  <si>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</si>
  <si>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</si>
  <si>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</si>
  <si>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</si>
  <si>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</si>
  <si>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</si>
  <si>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</si>
  <si>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</si>
  <si>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</si>
  <si>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</si>
  <si>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</si>
  <si>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</si>
  <si>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</si>
  <si>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</si>
  <si>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</si>
  <si>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</si>
  <si>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</si>
  <si>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</si>
  <si>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</si>
  <si>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</si>
  <si>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</si>
  <si>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</si>
  <si>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</si>
  <si>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</si>
  <si>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</si>
  <si>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</si>
  <si>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</si>
  <si>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</si>
  <si>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</si>
  <si>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</si>
  <si>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</si>
  <si>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</si>
  <si>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</si>
  <si>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</si>
  <si>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</si>
  <si>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</si>
  <si>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</si>
  <si>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</si>
  <si>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</si>
  <si>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</si>
  <si>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</si>
  <si>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</si>
  <si>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</si>
  <si>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</si>
  <si>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</si>
  <si>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</si>
  <si>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</si>
  <si>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</si>
  <si>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</si>
  <si>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</si>
  <si>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</si>
  <si>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</si>
  <si>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</si>
  <si>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</si>
  <si>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</si>
  <si>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</si>
  <si>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</si>
  <si>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</si>
  <si>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</si>
  <si>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</si>
  <si>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</si>
  <si>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</si>
  <si>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</si>
  <si>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</si>
  <si>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</si>
  <si>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</si>
  <si>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</si>
  <si>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</si>
  <si>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</si>
  <si>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</si>
  <si>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</si>
  <si>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</si>
  <si>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</si>
  <si>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</si>
  <si>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</si>
  <si>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</si>
  <si>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</si>
  <si>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</si>
  <si>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</si>
  <si>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</si>
  <si>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</si>
  <si>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</si>
  <si>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</si>
  <si>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</si>
  <si>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</si>
  <si>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</si>
  <si>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</si>
  <si>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</si>
  <si>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</si>
  <si>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</si>
  <si>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</si>
  <si>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</si>
  <si>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</si>
  <si>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</si>
  <si>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</si>
  <si>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</si>
  <si>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</si>
  <si>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</si>
  <si>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</si>
  <si>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</si>
  <si>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</si>
  <si>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</si>
  <si>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</si>
  <si>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</si>
  <si>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</si>
  <si>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</si>
  <si>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</si>
  <si>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</si>
  <si>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</si>
  <si>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</si>
  <si>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</si>
  <si>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</si>
  <si>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</si>
  <si>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</si>
  <si>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</si>
  <si>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</si>
  <si>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</si>
  <si>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</si>
  <si>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</si>
  <si>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</si>
  <si>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</si>
  <si>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</si>
  <si>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</si>
  <si>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</si>
  <si>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</si>
  <si>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</si>
  <si>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</si>
  <si>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</si>
  <si>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</si>
  <si>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</si>
  <si>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</si>
  <si>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</si>
  <si>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</si>
  <si>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</si>
  <si>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</si>
  <si>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</si>
  <si>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</si>
  <si>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</si>
  <si>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</si>
  <si>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</si>
  <si>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</si>
  <si>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</si>
  <si>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</si>
  <si>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</si>
  <si>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</si>
  <si>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</si>
  <si>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</si>
  <si>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</si>
  <si>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</si>
  <si>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</si>
  <si>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</si>
  <si>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</si>
  <si>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</si>
  <si>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</si>
  <si>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</si>
  <si>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</si>
  <si>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</si>
  <si>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</si>
  <si>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</si>
  <si>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</si>
  <si>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</si>
  <si>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</si>
  <si>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</si>
  <si>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</si>
  <si>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</si>
  <si>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</si>
  <si>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</si>
  <si>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</si>
  <si>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</si>
  <si>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</si>
  <si>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</si>
  <si>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</si>
  <si>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</si>
  <si>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</si>
  <si>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</si>
  <si>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</si>
  <si>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</si>
  <si>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</si>
  <si>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</si>
  <si>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</si>
  <si>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</si>
  <si>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</si>
  <si>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</si>
  <si>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</si>
  <si>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</si>
  <si>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</si>
  <si>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</si>
  <si>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</si>
  <si>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</si>
  <si>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</si>
  <si>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</si>
  <si>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</si>
  <si>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</si>
  <si>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</si>
  <si>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</si>
  <si>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</si>
  <si>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</si>
  <si>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</si>
  <si>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</si>
  <si>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</si>
  <si>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</si>
  <si>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</si>
  <si>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</si>
  <si>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</si>
  <si>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</si>
  <si>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</si>
  <si>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</si>
  <si>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</si>
  <si>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</si>
  <si>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</si>
  <si>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</si>
  <si>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</si>
  <si>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</si>
  <si>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</si>
  <si>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</si>
  <si>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</si>
  <si>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</si>
  <si>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</si>
  <si>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</si>
  <si>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</si>
  <si>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</si>
  <si>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</si>
  <si>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</si>
  <si>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</si>
  <si>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</si>
  <si>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</si>
  <si>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</si>
  <si>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</si>
  <si>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</si>
  <si>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</si>
  <si>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</si>
  <si>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</si>
  <si>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</si>
  <si>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</si>
  <si>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</si>
  <si>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</si>
  <si>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</si>
  <si>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</si>
  <si>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</si>
  <si>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</si>
  <si>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</si>
  <si>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</si>
  <si>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</si>
  <si>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</si>
  <si>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</si>
  <si>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</si>
  <si>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</si>
  <si>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</si>
  <si>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</si>
  <si>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</si>
  <si>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</si>
  <si>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</si>
  <si>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</si>
  <si>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</si>
  <si>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</si>
  <si>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</si>
  <si>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</si>
  <si>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</si>
  <si>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</si>
  <si>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</si>
  <si>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</si>
  <si>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</si>
  <si>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</si>
  <si>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</si>
  <si>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</si>
  <si>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</si>
  <si>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</si>
  <si>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</si>
  <si>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</si>
  <si>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</si>
  <si>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</si>
  <si>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</si>
  <si>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</si>
  <si>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</si>
  <si>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</si>
  <si>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</si>
  <si>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</si>
  <si>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</si>
  <si>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</si>
  <si>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</si>
  <si>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</si>
  <si>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</si>
  <si>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</si>
  <si>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</si>
  <si>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</si>
  <si>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</si>
  <si>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</si>
  <si>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</si>
  <si>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</si>
  <si>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</si>
  <si>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</si>
  <si>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</si>
  <si>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</si>
  <si>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</si>
  <si>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</si>
  <si>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</si>
  <si>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</si>
  <si>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</si>
  <si>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</si>
  <si>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</si>
  <si>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</si>
  <si>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</si>
  <si>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</si>
  <si>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</si>
  <si>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</si>
  <si>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</si>
  <si>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</si>
  <si>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</si>
  <si>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</si>
  <si>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</si>
  <si>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</si>
  <si>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</si>
  <si>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</si>
  <si>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</si>
  <si>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</si>
  <si>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</si>
  <si>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</si>
  <si>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</si>
  <si>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</si>
  <si>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</si>
  <si>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</si>
  <si>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</si>
  <si>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</si>
  <si>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</si>
  <si>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</si>
  <si>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</si>
  <si>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</si>
  <si>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</si>
  <si>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</si>
  <si>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</si>
  <si>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</si>
  <si>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</si>
  <si>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</si>
  <si>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</si>
  <si>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</si>
  <si>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</si>
  <si>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</si>
  <si>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</si>
  <si>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</si>
  <si>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</si>
  <si>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</si>
  <si>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</si>
  <si>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</si>
  <si>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</si>
  <si>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</si>
  <si>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</si>
  <si>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</si>
  <si>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</si>
  <si>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</si>
  <si>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</si>
  <si>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</si>
  <si>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</si>
  <si>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</si>
  <si>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</si>
  <si>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</si>
  <si>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</si>
  <si>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</si>
  <si>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</si>
  <si>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</si>
  <si>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</si>
  <si>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</si>
  <si>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</si>
  <si>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</si>
  <si>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</si>
  <si>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</si>
  <si>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</si>
  <si>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</si>
  <si>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</si>
  <si>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</si>
  <si>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</si>
  <si>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</si>
  <si>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</si>
  <si>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</si>
  <si>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</si>
  <si>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</si>
  <si>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</si>
  <si>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</si>
  <si>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</si>
  <si>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</si>
  <si>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</si>
  <si>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</si>
  <si>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</si>
  <si>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</si>
  <si>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</si>
  <si>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</si>
  <si>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</si>
  <si>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</si>
  <si>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</si>
  <si>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</si>
  <si>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</si>
  <si>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</si>
  <si>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</si>
  <si>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</si>
  <si>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</si>
  <si>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</si>
  <si>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</si>
  <si>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</si>
  <si>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</si>
  <si>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</si>
  <si>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</si>
  <si>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</si>
  <si>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</si>
  <si>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</si>
  <si>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</si>
  <si>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</si>
  <si>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</si>
  <si>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</si>
  <si>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</si>
  <si>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</si>
  <si>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</si>
  <si>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</si>
  <si>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</si>
  <si>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</si>
  <si>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</si>
  <si>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</si>
  <si>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</si>
  <si>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</si>
  <si>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</si>
  <si>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</si>
  <si>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</si>
  <si>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</si>
  <si>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</si>
  <si>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</si>
  <si>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</si>
  <si>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</si>
  <si>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</si>
  <si>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</si>
  <si>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</si>
  <si>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</si>
  <si>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</si>
  <si>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</si>
  <si>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</si>
  <si>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</si>
  <si>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</si>
  <si>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</si>
  <si>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</si>
  <si>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</si>
  <si>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</si>
  <si>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</si>
  <si>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</si>
  <si>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</si>
  <si>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</si>
  <si>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</si>
  <si>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</si>
  <si>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</si>
  <si>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</si>
  <si>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</si>
  <si>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</si>
  <si>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</si>
  <si>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</si>
  <si>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</si>
  <si>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</si>
  <si>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</si>
  <si>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</si>
  <si>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</si>
  <si>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</si>
  <si>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</si>
  <si>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</si>
  <si>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</si>
  <si>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</si>
  <si>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</si>
  <si>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</si>
  <si>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</si>
  <si>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</si>
  <si>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</si>
  <si>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</si>
  <si>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</si>
  <si>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</si>
  <si>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</si>
  <si>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</si>
  <si>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</si>
  <si>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</si>
  <si>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</si>
  <si>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</si>
  <si>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</si>
  <si>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</si>
  <si>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</si>
  <si>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</si>
  <si>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</si>
  <si>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</si>
  <si>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</si>
  <si>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</si>
  <si>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</si>
  <si>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</si>
  <si>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</si>
  <si>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</si>
  <si>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</si>
  <si>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</si>
  <si>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</si>
  <si>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</si>
  <si>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</si>
  <si>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</si>
  <si>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</si>
  <si>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</si>
  <si>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</si>
  <si>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</si>
  <si>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</si>
  <si>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</si>
  <si>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</si>
  <si>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</si>
  <si>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</si>
  <si>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</si>
  <si>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</si>
  <si>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</si>
  <si>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</si>
  <si>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</si>
  <si>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</si>
  <si>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</si>
  <si>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</si>
  <si>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</si>
  <si>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</si>
  <si>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</si>
  <si>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</si>
  <si>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</si>
  <si>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</si>
  <si>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</si>
  <si>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</si>
  <si>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</si>
  <si>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</si>
  <si>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</si>
  <si>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</si>
  <si>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</si>
  <si>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</si>
  <si>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</si>
  <si>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</si>
  <si>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</si>
  <si>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</si>
  <si>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</si>
  <si>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</si>
  <si>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</si>
  <si>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</si>
  <si>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</si>
  <si>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</si>
  <si>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</si>
  <si>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</si>
  <si>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</si>
  <si>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</si>
  <si>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</si>
  <si>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</si>
  <si>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</si>
  <si>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</si>
  <si>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</si>
  <si>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</si>
  <si>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</si>
  <si>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</si>
  <si>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</si>
  <si>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</si>
  <si>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</si>
  <si>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</si>
  <si>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</si>
  <si>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</si>
  <si>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</si>
  <si>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</si>
  <si>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</si>
  <si>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</si>
  <si>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</si>
  <si>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</si>
  <si>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</si>
  <si>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</si>
  <si>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</si>
  <si>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</si>
  <si>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</si>
  <si>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</si>
  <si>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</si>
  <si>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</si>
  <si>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</si>
  <si>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</si>
  <si>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</si>
  <si>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</si>
  <si>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</si>
  <si>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</si>
  <si>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</si>
  <si>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</si>
  <si>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</si>
  <si>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</si>
  <si>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</si>
  <si>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</si>
  <si>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</si>
  <si>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</si>
  <si>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</si>
  <si>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</si>
  <si>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</si>
  <si>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</si>
  <si>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</si>
  <si>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</si>
  <si>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</si>
  <si>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</si>
  <si>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</si>
  <si>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</si>
  <si>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</si>
  <si>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</si>
  <si>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</si>
  <si>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</si>
  <si>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</si>
  <si>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</si>
  <si>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</si>
  <si>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</si>
  <si>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</si>
  <si>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</si>
  <si>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</si>
  <si>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</si>
  <si>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</si>
  <si>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</si>
  <si>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</si>
  <si>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</si>
  <si>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</si>
  <si>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</si>
  <si>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</si>
  <si>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</si>
  <si>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</si>
  <si>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</si>
  <si>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</si>
  <si>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</si>
  <si>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</si>
  <si>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</si>
  <si>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</si>
  <si>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</si>
  <si>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</si>
  <si>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</si>
  <si>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</si>
  <si>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</si>
  <si>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</si>
  <si>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</si>
  <si>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</si>
  <si>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</si>
  <si>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</si>
  <si>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</si>
  <si>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</si>
  <si>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</si>
  <si>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</si>
  <si>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</si>
  <si>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</si>
  <si>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</si>
  <si>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</si>
  <si>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</si>
  <si>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</si>
  <si>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</si>
  <si>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</si>
  <si>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</si>
  <si>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</si>
  <si>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</si>
  <si>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</si>
  <si>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</si>
  <si>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</si>
  <si>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</si>
  <si>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</si>
  <si>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</si>
  <si>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</si>
  <si>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</si>
  <si>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</si>
  <si>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</si>
  <si>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</si>
  <si>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</si>
  <si>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</si>
  <si>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</si>
  <si>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</si>
  <si>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</si>
  <si>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</si>
  <si>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</si>
  <si>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</si>
  <si>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</si>
  <si>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</si>
  <si>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</si>
  <si>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</si>
  <si>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</si>
  <si>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</si>
  <si>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</si>
  <si>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</si>
  <si>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</si>
  <si>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</si>
  <si>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</si>
  <si>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</si>
  <si>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</si>
  <si>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</si>
  <si>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</si>
  <si>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</si>
  <si>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</si>
  <si>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</si>
  <si>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</si>
  <si>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</si>
  <si>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</si>
  <si>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</si>
  <si>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</si>
  <si>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</si>
  <si>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</si>
  <si>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</si>
  <si>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</si>
  <si>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</si>
  <si>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</si>
  <si>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</si>
  <si>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</si>
  <si>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</si>
  <si>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</si>
  <si>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</si>
  <si>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</si>
  <si>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</si>
  <si>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</si>
  <si>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</si>
  <si>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</si>
  <si>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</si>
  <si>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</si>
  <si>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</si>
  <si>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</si>
  <si>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</si>
  <si>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</si>
  <si>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</si>
  <si>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</si>
  <si>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</si>
  <si>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</si>
  <si>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</si>
  <si>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</si>
  <si>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</si>
  <si>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</si>
  <si>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</si>
  <si>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</si>
  <si>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</si>
  <si>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</si>
  <si>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</si>
  <si>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</si>
  <si>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</si>
  <si>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</si>
  <si>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</si>
  <si>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</si>
  <si>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</si>
  <si>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</si>
  <si>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</si>
  <si>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</si>
  <si>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</si>
  <si>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</si>
  <si>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</si>
  <si>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</si>
  <si>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</si>
  <si>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</si>
  <si>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</si>
  <si>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</si>
  <si>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</si>
  <si>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</si>
  <si>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</si>
  <si>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</si>
  <si>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</si>
  <si>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</si>
  <si>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</si>
  <si>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</si>
  <si>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</si>
  <si>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</si>
  <si>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</si>
  <si>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</si>
  <si>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</si>
  <si>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</si>
  <si>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</si>
  <si>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</si>
  <si>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</si>
  <si>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</si>
  <si>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</si>
  <si>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</si>
  <si>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</si>
  <si>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</si>
  <si>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</si>
  <si>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</si>
  <si>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</si>
  <si>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</si>
  <si>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</si>
  <si>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</si>
  <si>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</si>
  <si>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</si>
  <si>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</si>
  <si>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</si>
  <si>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</si>
  <si>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</si>
  <si>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</si>
  <si>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</si>
  <si>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</si>
  <si>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</si>
  <si>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</si>
  <si>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</si>
  <si>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</si>
  <si>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</si>
  <si>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</si>
  <si>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</si>
  <si>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</si>
  <si>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</si>
  <si>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</si>
  <si>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</si>
  <si>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</si>
  <si>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</si>
  <si>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</si>
  <si>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</si>
  <si>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</si>
  <si>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</si>
  <si>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</si>
  <si>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</si>
  <si>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</si>
  <si>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</si>
  <si>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</si>
  <si>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</si>
  <si>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</si>
  <si>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</si>
  <si>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</si>
  <si>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</si>
  <si>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</si>
  <si>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</si>
  <si>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</si>
  <si>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</si>
  <si>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</si>
  <si>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</si>
  <si>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</si>
  <si>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</si>
  <si>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</si>
  <si>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</si>
  <si>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</si>
  <si>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</si>
  <si>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</si>
  <si>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</si>
  <si>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</si>
  <si>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</si>
  <si>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</si>
  <si>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</si>
  <si>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</si>
  <si>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</si>
  <si>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</si>
  <si>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</si>
  <si>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</si>
  <si>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</si>
  <si>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</si>
  <si>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</si>
  <si>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</si>
  <si>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</si>
  <si>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</si>
  <si>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</si>
  <si>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</si>
  <si>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</si>
  <si>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</si>
  <si>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</si>
  <si>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</si>
  <si>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</si>
  <si>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</si>
  <si>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</si>
  <si>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</si>
  <si>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</si>
  <si>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</si>
  <si>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</si>
  <si>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</si>
  <si>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</si>
  <si>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</si>
  <si>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</si>
  <si>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</si>
  <si>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</si>
  <si>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</si>
  <si>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</si>
  <si>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</si>
  <si>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</si>
  <si>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</si>
  <si>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</si>
  <si>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</si>
  <si>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</si>
  <si>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</si>
  <si>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</si>
  <si>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</si>
  <si>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</si>
  <si>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</si>
  <si>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</si>
  <si>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</si>
  <si>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</si>
  <si>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</si>
  <si>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</si>
  <si>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</si>
  <si>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</si>
  <si>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</si>
  <si>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</si>
  <si>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</si>
  <si>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</si>
  <si>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</si>
  <si>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</si>
  <si>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</si>
  <si>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</si>
  <si>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</si>
  <si>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</si>
  <si>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</si>
  <si>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</si>
  <si>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</si>
  <si>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</si>
  <si>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</si>
  <si>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</si>
  <si>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</si>
  <si>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</si>
  <si>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</si>
  <si>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</si>
  <si>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</si>
  <si>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</si>
  <si>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</si>
  <si>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</si>
  <si>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</si>
  <si>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</si>
  <si>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</si>
  <si>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</si>
  <si>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</si>
  <si>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</si>
  <si>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</si>
  <si>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</si>
  <si>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</si>
  <si>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</si>
  <si>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</si>
  <si>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</si>
  <si>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</si>
  <si>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</si>
  <si>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</si>
  <si>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</si>
  <si>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</si>
  <si>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</si>
  <si>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</si>
  <si>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</si>
  <si>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</si>
  <si>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</si>
  <si>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</si>
  <si>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</si>
  <si>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</si>
  <si>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</si>
  <si>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</si>
  <si>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</si>
  <si>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</si>
  <si>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</si>
  <si>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</si>
  <si>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</si>
  <si>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</si>
  <si>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</si>
  <si>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</si>
  <si>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</si>
  <si>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</si>
  <si>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</si>
  <si>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</si>
  <si>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</si>
  <si>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</si>
  <si>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</si>
  <si>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</si>
  <si>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</si>
  <si>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</si>
  <si>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</si>
  <si>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</si>
  <si>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</si>
  <si>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</si>
  <si>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</si>
  <si>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</si>
  <si>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</si>
  <si>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</si>
  <si>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</si>
  <si>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</si>
  <si>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</si>
  <si>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</si>
  <si>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</si>
  <si>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</si>
  <si>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</si>
  <si>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</si>
  <si>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</si>
  <si>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</si>
  <si>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</si>
  <si>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</si>
  <si>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</si>
  <si>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</si>
  <si>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</si>
  <si>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</si>
  <si>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</si>
  <si>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</si>
  <si>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</si>
  <si>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</si>
  <si>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</si>
  <si>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</si>
  <si>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</si>
  <si>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</si>
  <si>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</si>
  <si>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</si>
  <si>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</si>
  <si>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</si>
  <si>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</si>
  <si>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</si>
  <si>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</si>
  <si>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</si>
  <si>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</si>
  <si>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</si>
  <si>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</si>
  <si>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</si>
  <si>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</si>
  <si>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</si>
  <si>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</si>
  <si>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</si>
  <si>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</si>
  <si>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</si>
  <si>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</si>
  <si>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</si>
  <si>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</si>
  <si>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</si>
  <si>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</si>
  <si>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</si>
  <si>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</si>
  <si>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</si>
  <si>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</si>
  <si>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</si>
  <si>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</si>
  <si>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</si>
  <si>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</si>
  <si>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</si>
  <si>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</si>
  <si>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</si>
  <si>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</si>
  <si>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</si>
  <si>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</si>
  <si>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</si>
  <si>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</si>
  <si>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</si>
  <si>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</si>
  <si>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</si>
  <si>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</si>
  <si>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</si>
  <si>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</si>
  <si>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</si>
  <si>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</si>
  <si>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</si>
  <si>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</si>
  <si>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</si>
  <si>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</si>
  <si>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</si>
  <si>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</si>
  <si>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</si>
  <si>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</si>
  <si>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</si>
  <si>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</si>
  <si>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</si>
  <si>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</si>
  <si>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</si>
  <si>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</si>
  <si>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</si>
  <si>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</si>
  <si>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</si>
  <si>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</si>
  <si>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</si>
  <si>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</si>
  <si>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</si>
  <si>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</si>
  <si>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</si>
  <si>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</si>
  <si>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</si>
  <si>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</si>
  <si>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</si>
  <si>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</si>
  <si>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</si>
  <si>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</si>
  <si>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</si>
  <si>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</si>
  <si>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</si>
  <si>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</si>
  <si>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</si>
  <si>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</si>
  <si>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</si>
  <si>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</si>
  <si>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</si>
  <si>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</si>
  <si>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</si>
  <si>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</si>
  <si>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</si>
  <si>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</si>
  <si>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</si>
  <si>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</si>
  <si>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</si>
  <si>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</si>
  <si>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</si>
  <si>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</si>
  <si>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</si>
  <si>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</si>
  <si>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</si>
  <si>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</si>
  <si>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</si>
  <si>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</si>
  <si>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</si>
  <si>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</si>
  <si>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</si>
  <si>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</si>
  <si>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</si>
  <si>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</si>
  <si>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</si>
  <si>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</si>
  <si>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</si>
  <si>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</si>
  <si>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</si>
  <si>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</si>
  <si>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</si>
  <si>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</si>
  <si>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</si>
  <si>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</si>
  <si>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</si>
  <si>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</si>
  <si>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</si>
  <si>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</si>
  <si>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</si>
  <si>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</si>
  <si>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</si>
  <si>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</si>
  <si>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</si>
  <si>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</si>
  <si>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</si>
  <si>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</si>
  <si>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</si>
  <si>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</si>
  <si>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</si>
  <si>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</si>
  <si>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</si>
  <si>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</si>
  <si>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</si>
  <si>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</si>
  <si>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</si>
  <si>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</si>
  <si>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</si>
  <si>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</si>
  <si>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</si>
  <si>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</si>
  <si>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</si>
  <si>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</si>
  <si>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</si>
  <si>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</si>
  <si>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</si>
  <si>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</si>
  <si>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</si>
  <si>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</si>
  <si>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</si>
  <si>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</si>
  <si>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</si>
  <si>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</si>
  <si>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</si>
  <si>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</si>
  <si>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</si>
  <si>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</si>
  <si>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</si>
  <si>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</si>
  <si>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</si>
  <si>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</si>
  <si>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</si>
  <si>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</si>
  <si>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</si>
  <si>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</si>
  <si>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</si>
  <si>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</si>
  <si>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</si>
  <si>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</si>
  <si>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</si>
  <si>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</si>
  <si>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</si>
  <si>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</si>
  <si>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</si>
  <si>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</si>
  <si>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</si>
  <si>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</si>
  <si>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</si>
  <si>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</si>
  <si>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</si>
  <si>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</si>
  <si>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</si>
  <si>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</si>
  <si>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</si>
  <si>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</si>
  <si>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</si>
  <si>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</si>
  <si>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</si>
  <si>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</si>
  <si>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</si>
  <si>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</si>
  <si>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</si>
  <si>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</si>
  <si>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</si>
  <si>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</si>
  <si>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</si>
  <si>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</si>
  <si>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</si>
  <si>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</si>
  <si>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</si>
  <si>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</si>
  <si>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</si>
  <si>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</si>
  <si>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</si>
  <si>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</si>
  <si>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</si>
  <si>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</si>
  <si>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</si>
  <si>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</si>
  <si>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</si>
  <si>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</si>
  <si>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</si>
  <si>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</si>
  <si>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</si>
  <si>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</si>
  <si>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</si>
  <si>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</si>
  <si>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</si>
  <si>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</si>
  <si>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</si>
  <si>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</si>
  <si>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</si>
  <si>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</si>
  <si>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</si>
  <si>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</si>
  <si>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</si>
  <si>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</si>
  <si>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</si>
  <si>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</si>
  <si>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</si>
  <si>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</si>
  <si>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</si>
  <si>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</si>
  <si>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</si>
  <si>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</si>
  <si>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</si>
  <si>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</si>
  <si>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</si>
  <si>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</si>
  <si>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</si>
  <si>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</si>
  <si>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</si>
  <si>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</si>
  <si>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</si>
  <si>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</si>
  <si>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</si>
  <si>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</si>
  <si>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</si>
  <si>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</si>
  <si>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</si>
  <si>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</si>
  <si>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</si>
  <si>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</si>
  <si>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</si>
  <si>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</si>
  <si>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</si>
  <si>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</si>
  <si>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</si>
  <si>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</si>
  <si>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</si>
  <si>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</si>
  <si>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</si>
  <si>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</si>
  <si>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</si>
  <si>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</si>
  <si>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</si>
  <si>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</si>
  <si>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</si>
  <si>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</si>
  <si>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</si>
  <si>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</si>
  <si>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</si>
  <si>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</si>
  <si>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</si>
  <si>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</si>
  <si>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</si>
  <si>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</si>
  <si>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</si>
  <si>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</si>
  <si>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</si>
  <si>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</si>
  <si>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</si>
  <si>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</si>
  <si>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</si>
  <si>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</si>
  <si>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</si>
  <si>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</si>
  <si>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</si>
  <si>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</si>
  <si>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</si>
  <si>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</si>
  <si>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</si>
  <si>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</si>
  <si>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</si>
  <si>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</si>
  <si>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</si>
  <si>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</si>
  <si>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</si>
  <si>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</si>
  <si>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</si>
  <si>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</si>
  <si>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</si>
  <si>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</si>
  <si>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</si>
  <si>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</si>
  <si>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</si>
  <si>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</si>
  <si>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</si>
  <si>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</si>
  <si>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</si>
  <si>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</si>
  <si>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</si>
  <si>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</si>
  <si>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</si>
  <si>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</si>
  <si>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</si>
  <si>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</si>
  <si>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</si>
  <si>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</si>
  <si>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</si>
  <si>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</si>
  <si>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</si>
  <si>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</si>
  <si>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</si>
  <si>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</si>
  <si>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</si>
  <si>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</si>
  <si>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</si>
  <si>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</si>
  <si>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</si>
  <si>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</si>
  <si>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</si>
  <si>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</si>
  <si>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</si>
  <si>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</si>
  <si>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</si>
  <si>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</si>
  <si>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</si>
  <si>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</si>
  <si>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</si>
  <si>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</si>
  <si>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</si>
  <si>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</si>
  <si>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</si>
  <si>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</si>
  <si>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</si>
  <si>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</si>
  <si>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</si>
  <si>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</si>
  <si>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</si>
  <si>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</si>
  <si>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</si>
  <si>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</si>
  <si>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</si>
  <si>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</si>
  <si>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</si>
  <si>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</si>
  <si>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</si>
  <si>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</si>
  <si>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</si>
  <si>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</si>
  <si>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</si>
  <si>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</si>
  <si>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</si>
  <si>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</si>
  <si>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</si>
  <si>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</si>
  <si>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</si>
  <si>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</si>
  <si>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</si>
  <si>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</si>
  <si>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</si>
  <si>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</si>
  <si>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</si>
  <si>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</si>
  <si>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</si>
  <si>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</si>
  <si>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</si>
  <si>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</si>
  <si>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</si>
  <si>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</si>
  <si>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</si>
  <si>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</si>
  <si>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</si>
  <si>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</si>
  <si>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</si>
  <si>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</si>
  <si>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</si>
  <si>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</si>
  <si>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</si>
  <si>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</si>
  <si>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</si>
  <si>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</si>
  <si>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</si>
  <si>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</si>
  <si>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</si>
  <si>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</si>
  <si>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</si>
  <si>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</si>
  <si>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</si>
  <si>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</si>
  <si>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</si>
  <si>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</si>
  <si>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</si>
  <si>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</si>
  <si>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</si>
  <si>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</si>
  <si>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</si>
  <si>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</si>
  <si>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</si>
  <si>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</si>
  <si>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</si>
  <si>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</si>
  <si>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</si>
  <si>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</si>
  <si>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</si>
  <si>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</si>
  <si>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</si>
  <si>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</si>
  <si>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</si>
  <si>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</si>
  <si>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</si>
  <si>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</si>
  <si>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</si>
  <si>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</si>
  <si>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</si>
  <si>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</si>
  <si>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</si>
  <si>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</si>
  <si>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</si>
  <si>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</si>
  <si>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</si>
  <si>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</si>
  <si>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</si>
  <si>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</si>
  <si>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</si>
  <si>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</si>
  <si>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</si>
  <si>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</si>
  <si>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</si>
  <si>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</si>
  <si>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</si>
  <si>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</si>
  <si>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</si>
  <si>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</si>
  <si>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</si>
  <si>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</si>
  <si>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</si>
  <si>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</si>
  <si>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</si>
  <si>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</si>
  <si>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</si>
  <si>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</si>
  <si>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</si>
  <si>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</si>
  <si>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</si>
  <si>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</si>
  <si>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</si>
  <si>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</si>
  <si>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</si>
  <si>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</si>
  <si>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</si>
  <si>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</si>
  <si>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</si>
  <si>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</si>
  <si>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</si>
  <si>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</si>
  <si>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</si>
  <si>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</si>
  <si>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</si>
  <si>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</si>
  <si>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</si>
  <si>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</si>
  <si>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</si>
  <si>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</si>
  <si>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</si>
  <si>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</si>
  <si>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</si>
  <si>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</si>
  <si>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</si>
  <si>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</si>
  <si>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</si>
  <si>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</si>
  <si>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</si>
  <si>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</si>
  <si>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</si>
  <si>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</si>
  <si>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</si>
  <si>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</si>
  <si>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</si>
  <si>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</si>
  <si>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</si>
  <si>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</si>
  <si>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</si>
  <si>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</si>
  <si>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</si>
  <si>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</si>
  <si>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</si>
  <si>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</si>
  <si>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</si>
  <si>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</si>
  <si>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</si>
  <si>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</si>
  <si>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</si>
  <si>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</si>
  <si>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</si>
  <si>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</si>
  <si>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</si>
  <si>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</si>
  <si>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</si>
  <si>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</si>
  <si>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</si>
  <si>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</si>
  <si>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</si>
  <si>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</si>
  <si>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</si>
  <si>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</si>
  <si>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</si>
  <si>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</si>
  <si>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</si>
  <si>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</si>
  <si>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</si>
  <si>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</si>
  <si>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</si>
  <si>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</si>
  <si>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</si>
  <si>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</si>
  <si>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</si>
  <si>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</si>
  <si>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</si>
  <si>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</si>
  <si>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</si>
  <si>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</si>
  <si>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</si>
  <si>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</si>
  <si>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</si>
  <si>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</si>
  <si>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</si>
  <si>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</si>
  <si>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</si>
  <si>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</si>
  <si>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</si>
  <si>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</si>
  <si>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</si>
  <si>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</si>
  <si>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</si>
  <si>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</si>
  <si>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</si>
  <si>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</si>
  <si>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</si>
  <si>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</si>
  <si>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</si>
  <si>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</si>
  <si>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</si>
  <si>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</si>
  <si>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</si>
  <si>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</si>
  <si>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</si>
  <si>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</si>
  <si>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</si>
  <si>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</si>
  <si>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</si>
  <si>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</si>
  <si>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</si>
  <si>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</si>
  <si>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</si>
  <si>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</si>
  <si>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</si>
  <si>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</si>
  <si>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</si>
  <si>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</si>
  <si>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</si>
  <si>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</si>
  <si>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</si>
  <si>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</si>
  <si>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</si>
  <si>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</si>
  <si>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</si>
  <si>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</si>
  <si>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</si>
  <si>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</si>
  <si>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</si>
  <si>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</si>
  <si>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</si>
  <si>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</si>
  <si>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</si>
  <si>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</si>
  <si>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</si>
  <si>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</si>
  <si>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</si>
  <si>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</si>
  <si>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</si>
  <si>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</si>
  <si>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</si>
  <si>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</si>
  <si>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</si>
  <si>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</si>
  <si>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</si>
  <si>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</si>
  <si>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</si>
  <si>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</si>
  <si>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</si>
  <si>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</si>
  <si>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</si>
  <si>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</si>
  <si>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</si>
  <si>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</si>
  <si>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</si>
  <si>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</si>
  <si>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</si>
  <si>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</si>
  <si>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</si>
  <si>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</si>
  <si>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</si>
  <si>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</si>
  <si>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</si>
  <si>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</si>
  <si>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</si>
  <si>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</si>
  <si>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</si>
  <si>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</si>
  <si>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</si>
  <si>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</si>
  <si>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</si>
  <si>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</si>
  <si>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</si>
  <si>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</si>
  <si>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</si>
  <si>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</si>
  <si>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</si>
  <si>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</si>
  <si>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</si>
  <si>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</si>
  <si>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</si>
  <si>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</si>
  <si>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</si>
  <si>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</si>
  <si>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</si>
  <si>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</si>
  <si>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</si>
  <si>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</si>
  <si>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</si>
  <si>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</si>
  <si>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</si>
  <si>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</si>
  <si>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</si>
  <si>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</si>
  <si>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</si>
  <si>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</si>
  <si>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</si>
  <si>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</si>
  <si>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</si>
  <si>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</si>
  <si>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</si>
  <si>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</si>
  <si>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</si>
  <si>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</si>
  <si>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</si>
  <si>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</si>
  <si>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</si>
  <si>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</si>
  <si>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</si>
  <si>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</si>
  <si>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</si>
  <si>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</si>
  <si>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</si>
  <si>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</si>
  <si>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</si>
  <si>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</si>
  <si>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</si>
  <si>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</si>
  <si>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</si>
  <si>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</si>
  <si>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</si>
  <si>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</si>
  <si>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</si>
  <si>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</si>
  <si>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</si>
  <si>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</si>
  <si>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</si>
  <si>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</si>
  <si>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</si>
  <si>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</si>
  <si>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</si>
  <si>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</si>
  <si>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</si>
  <si>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</si>
  <si>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</si>
  <si>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</si>
  <si>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</si>
  <si>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</si>
  <si>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</si>
  <si>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</si>
  <si>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</si>
  <si>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</si>
  <si>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</si>
  <si>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</si>
  <si>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</si>
  <si>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</si>
  <si>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</si>
  <si>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</si>
  <si>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</si>
  <si>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</si>
  <si>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</si>
  <si>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</si>
  <si>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</si>
  <si>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</si>
  <si>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</si>
  <si>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</si>
  <si>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</si>
  <si>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</si>
  <si>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</si>
  <si>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</si>
  <si>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</si>
  <si>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</si>
  <si>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</si>
  <si>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</si>
  <si>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</si>
  <si>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</si>
  <si>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</si>
  <si>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</si>
  <si>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</si>
  <si>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</si>
  <si>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</si>
  <si>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</si>
  <si>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</si>
  <si>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</si>
  <si>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</si>
  <si>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</si>
  <si>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</si>
  <si>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</si>
  <si>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</si>
  <si>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</si>
  <si>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</si>
  <si>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</si>
  <si>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</si>
  <si>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</si>
  <si>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</si>
  <si>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</si>
  <si>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</si>
  <si>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</si>
  <si>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</si>
  <si>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</si>
  <si>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</si>
  <si>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</si>
  <si>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</si>
  <si>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</si>
  <si>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</si>
  <si>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</si>
  <si>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</si>
  <si>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</si>
  <si>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</si>
  <si>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</si>
  <si>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</si>
  <si>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</si>
  <si>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</si>
  <si>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</si>
  <si>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</si>
  <si>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</si>
  <si>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</si>
  <si>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</si>
  <si>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</si>
  <si>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</si>
  <si>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</si>
  <si>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</si>
  <si>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</si>
  <si>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</si>
  <si>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</si>
  <si>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</si>
  <si>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</si>
  <si>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</si>
  <si>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</si>
  <si>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</si>
  <si>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</si>
  <si>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</si>
  <si>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</si>
  <si>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</si>
  <si>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</si>
  <si>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</si>
  <si>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</si>
  <si>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</si>
  <si>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</si>
  <si>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</si>
  <si>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</si>
  <si>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</si>
  <si>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</si>
  <si>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</si>
  <si>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</si>
  <si>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</si>
  <si>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</si>
  <si>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</si>
  <si>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</si>
  <si>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</si>
  <si>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</si>
  <si>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</si>
  <si>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</si>
  <si>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</si>
  <si>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</si>
  <si>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</si>
  <si>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</si>
  <si>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</si>
  <si>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</si>
  <si>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</si>
  <si>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</si>
  <si>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</si>
  <si>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</si>
  <si>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</si>
  <si>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</si>
  <si>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</si>
  <si>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</si>
  <si>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</si>
  <si>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</si>
  <si>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</si>
  <si>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</si>
  <si>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</si>
  <si>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</si>
  <si>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</si>
  <si>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</si>
  <si>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</si>
  <si>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</si>
  <si>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</si>
  <si>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</si>
  <si>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</si>
  <si>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</si>
  <si>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</si>
  <si>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</si>
  <si>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</si>
  <si>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</si>
  <si>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</si>
  <si>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</si>
  <si>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</si>
  <si>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</si>
  <si>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</si>
  <si>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</si>
  <si>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</si>
  <si>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</si>
  <si>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</si>
  <si>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</si>
  <si>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</si>
  <si>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</si>
  <si>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</si>
  <si>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</si>
  <si>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</si>
  <si>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</si>
  <si>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</si>
  <si>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</si>
  <si>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</si>
  <si>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</si>
  <si>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</si>
  <si>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</si>
  <si>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</si>
  <si>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</si>
  <si>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</si>
  <si>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</si>
  <si>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</si>
  <si>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</si>
  <si>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</si>
  <si>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</si>
  <si>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</si>
  <si>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</si>
  <si>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</si>
  <si>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</si>
  <si>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</si>
  <si>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</si>
  <si>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</si>
  <si>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</si>
  <si>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</si>
  <si>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</si>
  <si>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</si>
  <si>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</si>
  <si>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</si>
  <si>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</si>
  <si>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</si>
  <si>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</si>
  <si>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</si>
  <si>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</si>
  <si>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</si>
  <si>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</si>
  <si>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</si>
  <si>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</si>
  <si>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</si>
  <si>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</si>
  <si>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</si>
  <si>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</si>
  <si>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</si>
  <si>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</si>
  <si>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</si>
  <si>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</si>
  <si>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</si>
  <si>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</si>
  <si>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</si>
  <si>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</si>
  <si>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</si>
  <si>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</si>
  <si>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</si>
  <si>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</si>
  <si>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</si>
  <si>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</si>
  <si>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</si>
  <si>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</si>
  <si>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</si>
  <si>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</si>
  <si>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</si>
  <si>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</si>
  <si>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</si>
  <si>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</si>
  <si>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</si>
  <si>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</si>
  <si>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</si>
  <si>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</si>
  <si>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</si>
  <si>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</si>
  <si>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</si>
  <si>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</si>
  <si>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</si>
  <si>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</si>
  <si>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</si>
  <si>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</si>
  <si>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</si>
  <si>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</si>
  <si>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</si>
  <si>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</si>
  <si>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</si>
  <si>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</si>
  <si>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</si>
  <si>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</si>
  <si>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</si>
  <si>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</si>
  <si>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</si>
  <si>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</si>
  <si>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</si>
  <si>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</si>
  <si>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</si>
  <si>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</si>
  <si>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</si>
  <si>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</si>
  <si>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</si>
  <si>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</si>
  <si>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</si>
  <si>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</si>
  <si>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</si>
  <si>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</si>
  <si>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</si>
  <si>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</si>
  <si>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</si>
  <si>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</si>
  <si>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</si>
  <si>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</si>
  <si>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</si>
  <si>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</si>
  <si>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</si>
  <si>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</si>
  <si>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</si>
  <si>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</si>
  <si>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</si>
  <si>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</si>
  <si>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</si>
  <si>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</si>
  <si>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</si>
  <si>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</si>
  <si>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</si>
  <si>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</si>
  <si>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</si>
  <si>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</si>
  <si>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</si>
  <si>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</si>
  <si>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</si>
  <si>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</si>
  <si>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</si>
  <si>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</si>
  <si>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</si>
  <si>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</si>
  <si>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</si>
  <si>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</si>
  <si>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</si>
  <si>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</si>
  <si>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</si>
  <si>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</si>
  <si>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</si>
  <si>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</si>
  <si>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</si>
  <si>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</si>
  <si>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</si>
  <si>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</si>
  <si>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</si>
  <si>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</si>
  <si>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</si>
  <si>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</si>
  <si>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</si>
  <si>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</si>
  <si>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</si>
  <si>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</si>
  <si>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</si>
  <si>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</si>
  <si>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</si>
  <si>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</si>
  <si>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</si>
  <si>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</si>
  <si>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</si>
  <si>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</si>
  <si>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</si>
  <si>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</si>
  <si>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</si>
  <si>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</si>
  <si>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</si>
  <si>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</si>
  <si>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</si>
  <si>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</si>
  <si>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</si>
  <si>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</si>
  <si>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</si>
  <si>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</si>
  <si>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</si>
  <si>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</si>
  <si>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</si>
  <si>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</si>
  <si>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</si>
  <si>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</si>
  <si>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</si>
  <si>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</si>
  <si>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</si>
  <si>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</si>
  <si>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</si>
  <si>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</si>
  <si>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</si>
  <si>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</si>
  <si>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</si>
  <si>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</si>
  <si>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</si>
  <si>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</si>
  <si>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</si>
  <si>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</si>
  <si>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</si>
  <si>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</si>
  <si>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</si>
  <si>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</si>
  <si>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</si>
  <si>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</si>
  <si>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</si>
  <si>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</si>
  <si>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</si>
  <si>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</si>
  <si>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</si>
  <si>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</si>
  <si>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</si>
  <si>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</si>
  <si>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</si>
  <si>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</si>
  <si>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</si>
  <si>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</si>
  <si>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</si>
  <si>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</si>
  <si>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</si>
  <si>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</si>
  <si>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</si>
  <si>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</si>
  <si>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</si>
  <si>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</si>
  <si>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</si>
  <si>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</si>
  <si>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</si>
  <si>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</si>
  <si>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</si>
  <si>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</si>
  <si>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</si>
  <si>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</si>
  <si>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</si>
  <si>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</si>
  <si>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</si>
  <si>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</si>
  <si>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</si>
  <si>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</si>
  <si>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</si>
  <si>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</si>
  <si>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</si>
  <si>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</si>
  <si>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</si>
  <si>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</si>
  <si>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</si>
  <si>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</si>
  <si>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</si>
  <si>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</si>
  <si>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</si>
  <si>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</si>
  <si>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</si>
  <si>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</si>
  <si>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</si>
  <si>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</si>
  <si>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</si>
  <si>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</si>
  <si>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</si>
  <si>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</si>
  <si>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</si>
  <si>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</si>
  <si>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</si>
  <si>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</si>
  <si>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</si>
  <si>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</si>
  <si>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</si>
  <si>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</si>
  <si>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</si>
  <si>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</si>
  <si>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</si>
  <si>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</si>
  <si>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</si>
  <si>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</si>
  <si>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</si>
  <si>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</si>
  <si>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</si>
  <si>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</si>
  <si>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</si>
  <si>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</si>
  <si>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</si>
  <si>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</si>
  <si>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</si>
  <si>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</si>
  <si>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</si>
  <si>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</si>
  <si>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</si>
  <si>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</si>
  <si>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</si>
  <si>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</si>
  <si>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</si>
  <si>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</si>
  <si>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</si>
  <si>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</si>
  <si>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</si>
  <si>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</si>
  <si>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</si>
  <si>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</si>
  <si>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</si>
  <si>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</si>
  <si>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</si>
  <si>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</si>
  <si>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</si>
  <si>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</si>
  <si>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</si>
  <si>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</si>
  <si>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</si>
  <si>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</si>
  <si>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</si>
  <si>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</si>
  <si>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</si>
  <si>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</si>
  <si>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</si>
  <si>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</si>
  <si>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</si>
  <si>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</si>
  <si>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</si>
  <si>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</si>
  <si>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</si>
  <si>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</si>
  <si>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</si>
  <si>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</si>
  <si>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</si>
  <si>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</si>
  <si>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</si>
  <si>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</si>
  <si>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</si>
  <si>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</si>
  <si>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</si>
  <si>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</si>
  <si>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</si>
  <si>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</si>
  <si>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</si>
  <si>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</si>
  <si>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</si>
  <si>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</si>
  <si>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</si>
  <si>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</si>
  <si>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</si>
  <si>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</si>
  <si>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</si>
  <si>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</si>
  <si>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</si>
  <si>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</si>
  <si>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</si>
  <si>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</si>
  <si>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</si>
  <si>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</si>
  <si>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</si>
  <si>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</si>
  <si>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</si>
  <si>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</si>
  <si>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</si>
  <si>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</si>
  <si>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</si>
  <si>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</si>
  <si>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</si>
  <si>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</si>
  <si>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</si>
  <si>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</si>
  <si>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</si>
  <si>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</si>
  <si>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</si>
  <si>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</si>
  <si>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</si>
  <si>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</si>
  <si>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</si>
  <si>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</si>
  <si>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</si>
  <si>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</si>
  <si>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</si>
  <si>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</si>
  <si>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</si>
  <si>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</si>
  <si>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</si>
  <si>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</si>
  <si>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</si>
  <si>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</si>
  <si>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</si>
  <si>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</si>
  <si>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</si>
  <si>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</si>
  <si>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</si>
  <si>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</si>
  <si>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</si>
  <si>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</si>
  <si>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</si>
  <si>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</si>
  <si>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</si>
  <si>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</si>
  <si>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</si>
  <si>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</si>
  <si>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</si>
  <si>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</si>
  <si>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</si>
  <si>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</si>
  <si>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</si>
  <si>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</si>
  <si>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</si>
  <si>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</si>
  <si>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</si>
  <si>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</si>
  <si>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</si>
  <si>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</si>
  <si>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</si>
  <si>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</si>
  <si>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</si>
  <si>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</si>
  <si>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</si>
  <si>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</si>
  <si>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</si>
  <si>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</si>
  <si>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</si>
  <si>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</si>
  <si>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</si>
  <si>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</si>
  <si>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</si>
  <si>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</si>
  <si>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</si>
  <si>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</si>
  <si>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</si>
  <si>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</si>
  <si>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</si>
  <si>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</si>
  <si>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</si>
  <si>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</si>
  <si>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</si>
  <si>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</si>
  <si>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</si>
  <si>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</si>
  <si>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</si>
  <si>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</si>
  <si>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</si>
  <si>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</si>
  <si>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</si>
  <si>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</si>
  <si>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</si>
  <si>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</si>
  <si>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</si>
  <si>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</si>
  <si>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</si>
  <si>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</si>
  <si>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</si>
  <si>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</si>
  <si>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</si>
  <si>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</si>
  <si>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</si>
  <si>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</si>
  <si>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</si>
  <si>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</si>
  <si>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</si>
  <si>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</si>
  <si>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</si>
  <si>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</si>
  <si>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</si>
  <si>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</si>
  <si>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</si>
  <si>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</si>
  <si>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</si>
  <si>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</si>
  <si>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</si>
  <si>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</si>
  <si>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</si>
  <si>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</si>
  <si>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</si>
  <si>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</si>
  <si>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</si>
  <si>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</si>
  <si>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</si>
  <si>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</si>
  <si>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</si>
  <si>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</si>
  <si>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</si>
  <si>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</si>
  <si>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</si>
  <si>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</si>
  <si>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</si>
  <si>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</si>
  <si>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</si>
  <si>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</si>
  <si>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</si>
  <si>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</si>
  <si>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</si>
  <si>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</si>
  <si>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</si>
  <si>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</si>
  <si>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</si>
  <si>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</si>
  <si>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</si>
  <si>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</si>
  <si>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</si>
  <si>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</si>
  <si>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</si>
  <si>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</si>
  <si>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</si>
  <si>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</si>
  <si>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</si>
  <si>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</si>
  <si>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</si>
  <si>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</si>
  <si>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</si>
  <si>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</si>
  <si>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</si>
  <si>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</si>
  <si>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</si>
  <si>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</si>
  <si>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</si>
  <si>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</si>
  <si>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</si>
  <si>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</si>
  <si>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</si>
  <si>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</si>
  <si>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</si>
  <si>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</si>
  <si>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</si>
  <si>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</si>
  <si>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</si>
  <si>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</si>
  <si>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</si>
  <si>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</si>
  <si>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</si>
  <si>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</si>
  <si>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</si>
  <si>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</si>
  <si>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</si>
  <si>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</si>
  <si>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</si>
  <si>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</si>
  <si>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</si>
  <si>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</si>
  <si>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</si>
  <si>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</si>
  <si>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</si>
  <si>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</si>
  <si>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</si>
  <si>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</si>
  <si>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</si>
  <si>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</si>
  <si>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</si>
  <si>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</si>
  <si>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</si>
  <si>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</si>
  <si>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</si>
  <si>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</si>
  <si>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</si>
  <si>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</si>
  <si>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</si>
  <si>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</si>
  <si>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</si>
  <si>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</si>
  <si>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</si>
  <si>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</si>
  <si>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</si>
  <si>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</si>
  <si>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</si>
  <si>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</si>
  <si>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</si>
  <si>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</si>
  <si>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</si>
  <si>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</si>
  <si>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</si>
  <si>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</si>
  <si>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</si>
  <si>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</si>
  <si>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</si>
  <si>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</si>
  <si>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</si>
  <si>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</si>
  <si>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</si>
  <si>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</si>
  <si>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</si>
  <si>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</si>
  <si>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</si>
  <si>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</si>
  <si>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</si>
  <si>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</si>
  <si>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</si>
  <si>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</si>
  <si>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</si>
  <si>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</si>
  <si>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</si>
  <si>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</si>
  <si>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</si>
  <si>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</si>
  <si>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</si>
  <si>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</si>
  <si>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</si>
  <si>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</si>
  <si>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</si>
  <si>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</si>
  <si>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</si>
  <si>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</si>
  <si>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</si>
  <si>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</si>
  <si>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</si>
  <si>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</si>
  <si>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</si>
  <si>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</si>
  <si>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</si>
  <si>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</si>
  <si>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</si>
  <si>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</si>
  <si>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</si>
  <si>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</si>
  <si>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</si>
  <si>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</si>
  <si>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</si>
  <si>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</si>
  <si>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</si>
  <si>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</si>
  <si>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</si>
  <si>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</si>
  <si>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</si>
  <si>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</si>
  <si>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</si>
  <si>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</si>
  <si>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</si>
  <si>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</si>
  <si>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</si>
  <si>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</si>
  <si>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</si>
  <si>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</si>
  <si>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</si>
  <si>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</si>
  <si>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</si>
  <si>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</si>
  <si>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</si>
  <si>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</si>
  <si>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</si>
  <si>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</si>
  <si>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</si>
  <si>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</si>
  <si>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</si>
  <si>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</si>
  <si>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</si>
  <si>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</si>
  <si>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</si>
  <si>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</si>
  <si>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</si>
  <si>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</si>
  <si>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</si>
  <si>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</si>
  <si>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</si>
  <si>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</si>
  <si>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</si>
  <si>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</si>
  <si>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</si>
  <si>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</si>
  <si>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</si>
  <si>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</si>
  <si>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</si>
  <si>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</si>
  <si>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</si>
  <si>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</si>
  <si>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</si>
  <si>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</si>
  <si>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</si>
  <si>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</si>
  <si>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</si>
  <si>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</si>
  <si>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</si>
  <si>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</si>
  <si>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</si>
  <si>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</si>
  <si>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</si>
  <si>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</si>
  <si>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</si>
  <si>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</si>
  <si>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</si>
  <si>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</si>
  <si>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</si>
  <si>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</si>
  <si>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</si>
  <si>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</si>
  <si>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</si>
  <si>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</si>
  <si>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</si>
  <si>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</si>
  <si>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</si>
  <si>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</si>
  <si>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</si>
  <si>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</si>
  <si>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</si>
  <si>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</si>
  <si>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</si>
  <si>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</si>
  <si>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</si>
  <si>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</si>
  <si>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</si>
  <si>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</si>
  <si>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</si>
  <si>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</si>
  <si>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</si>
  <si>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</si>
  <si>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</si>
  <si>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</si>
  <si>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</si>
  <si>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</si>
  <si>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</si>
  <si>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</si>
  <si>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</si>
  <si>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</si>
  <si>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</si>
  <si>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</si>
  <si>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</si>
  <si>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</si>
  <si>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</si>
  <si>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</si>
  <si>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</si>
  <si>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</si>
  <si>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</si>
  <si>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</si>
  <si>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</si>
  <si>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</si>
  <si>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</si>
  <si>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</si>
  <si>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</si>
  <si>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</si>
  <si>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</si>
  <si>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</si>
  <si>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</si>
  <si>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</si>
  <si>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</si>
  <si>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</si>
  <si>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</si>
  <si>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</si>
  <si>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</si>
  <si>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</si>
  <si>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</si>
  <si>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</si>
  <si>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</si>
  <si>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</si>
  <si>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</si>
  <si>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</si>
  <si>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</si>
  <si>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</si>
  <si>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</si>
  <si>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</si>
  <si>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</si>
  <si>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</si>
  <si>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</si>
  <si>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</si>
  <si>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</si>
  <si>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</si>
  <si>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</si>
  <si>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</si>
  <si>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</si>
  <si>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</si>
  <si>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</si>
  <si>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</si>
  <si>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</si>
  <si>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</si>
  <si>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</si>
  <si>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</si>
  <si>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</si>
  <si>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</si>
  <si>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</si>
  <si>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</si>
  <si>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</si>
  <si>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</si>
  <si>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</si>
  <si>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</si>
  <si>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</si>
  <si>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</si>
  <si>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</si>
  <si>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</si>
  <si>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</si>
  <si>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</si>
  <si>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</si>
  <si>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</si>
  <si>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</si>
  <si>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</si>
  <si>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</si>
  <si>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</si>
  <si>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</si>
  <si>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</si>
  <si>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</si>
  <si>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</si>
  <si>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</si>
  <si>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</si>
  <si>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</si>
  <si>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</si>
  <si>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</si>
  <si>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</si>
  <si>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</si>
  <si>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</si>
  <si>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</si>
  <si>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</si>
  <si>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</si>
  <si>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</si>
  <si>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</si>
  <si>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</si>
  <si>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</si>
  <si>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</si>
  <si>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</si>
  <si>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</si>
  <si>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</si>
  <si>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</si>
  <si>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</si>
  <si>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</si>
  <si>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</si>
  <si>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</si>
  <si>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</si>
  <si>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</si>
  <si>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</si>
  <si>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</si>
  <si>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</si>
  <si>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</si>
  <si>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</si>
  <si>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</si>
  <si>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</si>
  <si>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</si>
  <si>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</si>
  <si>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</si>
  <si>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</si>
  <si>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</si>
  <si>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</si>
  <si>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</si>
  <si>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</si>
  <si>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</si>
  <si>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</si>
  <si>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</si>
  <si>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</si>
  <si>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</si>
  <si>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</si>
  <si>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</si>
  <si>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</si>
  <si>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</si>
  <si>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</si>
  <si>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</si>
  <si>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</si>
  <si>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</si>
  <si>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</si>
  <si>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</si>
  <si>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</si>
  <si>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</si>
  <si>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</si>
  <si>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</si>
  <si>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</si>
  <si>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</si>
  <si>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</si>
  <si>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</si>
  <si>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</si>
  <si>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</si>
  <si>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</si>
  <si>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</si>
  <si>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</si>
  <si>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</si>
  <si>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</si>
  <si>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</si>
  <si>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</si>
  <si>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</si>
  <si>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</si>
  <si>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</si>
  <si>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</si>
  <si>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</si>
  <si>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</si>
  <si>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</si>
  <si>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</si>
  <si>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</si>
  <si>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</si>
  <si>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</si>
  <si>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</si>
  <si>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</si>
  <si>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</si>
  <si>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</si>
  <si>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</si>
  <si>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</si>
  <si>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</si>
  <si>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</si>
  <si>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</si>
  <si>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</si>
  <si>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</si>
  <si>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</si>
  <si>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</si>
  <si>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</si>
  <si>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</si>
  <si>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</si>
  <si>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</si>
  <si>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</si>
  <si>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</si>
  <si>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</si>
  <si>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</si>
  <si>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</si>
  <si>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</si>
  <si>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</si>
  <si>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</si>
  <si>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</si>
  <si>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</si>
  <si>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</si>
  <si>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</si>
  <si>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</si>
  <si>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</si>
  <si>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</si>
  <si>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</si>
  <si>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</si>
  <si>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</si>
  <si>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</si>
  <si>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</si>
  <si>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</si>
  <si>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</si>
  <si>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</si>
  <si>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</si>
  <si>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</si>
  <si>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</si>
  <si>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</si>
  <si>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</si>
  <si>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</si>
  <si>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</si>
  <si>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</si>
  <si>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</si>
  <si>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</si>
  <si>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</si>
  <si>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</si>
  <si>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</si>
  <si>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</si>
  <si>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</si>
  <si>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</si>
  <si>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</si>
  <si>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</si>
  <si>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</si>
  <si>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</si>
  <si>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</si>
  <si>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</si>
  <si>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</si>
  <si>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</si>
  <si>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</si>
  <si>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</si>
  <si>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</si>
  <si>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</si>
  <si>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</si>
  <si>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</si>
  <si>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</si>
  <si>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</si>
  <si>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</si>
  <si>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</si>
  <si>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</si>
  <si>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</si>
  <si>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</si>
  <si>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</si>
  <si>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</si>
  <si>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</si>
  <si>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</si>
  <si>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</si>
  <si>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</si>
  <si>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</si>
  <si>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</si>
  <si>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</si>
  <si>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</si>
  <si>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</si>
  <si>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</si>
  <si>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</si>
  <si>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</si>
  <si>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</si>
  <si>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</si>
  <si>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</si>
  <si>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</si>
  <si>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</si>
  <si>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</si>
  <si>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</si>
  <si>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</si>
  <si>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</si>
  <si>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</si>
  <si>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</si>
  <si>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</si>
  <si>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</si>
  <si>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</si>
  <si>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</si>
  <si>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</si>
  <si>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</si>
  <si>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</si>
  <si>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</si>
  <si>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</si>
  <si>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</si>
  <si>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</si>
  <si>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</si>
  <si>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</si>
  <si>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</si>
  <si>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</si>
  <si>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</si>
  <si>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</si>
  <si>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</si>
  <si>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</si>
  <si>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</si>
  <si>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</si>
  <si>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</si>
  <si>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</si>
  <si>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</si>
  <si>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</si>
  <si>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</si>
  <si>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</si>
  <si>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</si>
  <si>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</si>
  <si>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</si>
  <si>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</si>
  <si>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</si>
  <si>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</si>
  <si>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</si>
  <si>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</si>
  <si>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</si>
  <si>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</si>
  <si>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</si>
  <si>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</si>
  <si>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</si>
  <si>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</si>
  <si>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</si>
  <si>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</si>
  <si>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</si>
  <si>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</si>
  <si>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</si>
  <si>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</si>
  <si>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</si>
  <si>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</si>
  <si>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</si>
  <si>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</si>
  <si>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</si>
  <si>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</si>
  <si>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</si>
  <si>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</si>
  <si>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</si>
  <si>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</si>
  <si>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</si>
  <si>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</si>
  <si>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</si>
  <si>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</si>
  <si>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</si>
  <si>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</si>
  <si>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</si>
  <si>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</si>
  <si>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</si>
  <si>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</si>
  <si>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</si>
  <si>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</si>
  <si>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</si>
  <si>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</si>
  <si>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</si>
  <si>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</si>
  <si>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</si>
  <si>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</si>
  <si>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</si>
  <si>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</si>
  <si>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</si>
  <si>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</si>
  <si>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</si>
  <si>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</si>
  <si>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</si>
  <si>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</si>
  <si>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</si>
  <si>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</si>
  <si>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</si>
  <si>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</si>
  <si>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</si>
  <si>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</si>
  <si>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</si>
  <si>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</si>
  <si>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</si>
  <si>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</si>
  <si>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</si>
  <si>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</si>
  <si>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</si>
  <si>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</si>
  <si>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</si>
  <si>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</si>
  <si>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</si>
  <si>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</si>
  <si>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</si>
  <si>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</si>
  <si>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</si>
  <si>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</si>
  <si>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</si>
  <si>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</si>
  <si>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</si>
  <si>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</si>
  <si>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</si>
  <si>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</si>
  <si>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</si>
  <si>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</si>
  <si>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</si>
  <si>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</si>
  <si>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</si>
  <si>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</si>
  <si>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</si>
  <si>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</si>
  <si>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</si>
  <si>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</si>
  <si>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</si>
  <si>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</si>
  <si>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</si>
  <si>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</si>
  <si>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</si>
  <si>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</si>
  <si>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</si>
  <si>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</si>
  <si>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</si>
  <si>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</si>
  <si>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</si>
  <si>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</si>
  <si>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</si>
  <si>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</si>
  <si>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</si>
  <si>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</si>
  <si>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</si>
  <si>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</si>
  <si>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</si>
  <si>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</si>
  <si>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</si>
  <si>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</si>
  <si>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</si>
  <si>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</si>
  <si>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</si>
  <si>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</si>
  <si>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</si>
  <si>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</si>
  <si>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</si>
  <si>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</si>
  <si>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</si>
  <si>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</si>
  <si>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</si>
  <si>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</si>
  <si>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</si>
  <si>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</si>
  <si>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</si>
  <si>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</si>
  <si>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</si>
  <si>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</si>
  <si>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</si>
  <si>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</si>
  <si>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</si>
  <si>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</si>
  <si>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</si>
  <si>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</si>
  <si>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</si>
  <si>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</si>
  <si>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</si>
  <si>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</si>
  <si>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</si>
  <si>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</si>
  <si>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</si>
  <si>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</si>
  <si>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</si>
  <si>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</si>
  <si>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</si>
  <si>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</si>
  <si>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</si>
  <si>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</si>
  <si>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</si>
  <si>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</si>
  <si>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</si>
  <si>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</si>
  <si>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</si>
  <si>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</si>
  <si>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</si>
  <si>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</si>
  <si>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</si>
  <si>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</si>
  <si>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</si>
  <si>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</si>
  <si>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</si>
  <si>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</si>
  <si>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</si>
  <si>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</si>
  <si>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</si>
  <si>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</si>
  <si>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</si>
  <si>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</si>
  <si>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</si>
  <si>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</si>
  <si>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</si>
  <si>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</si>
  <si>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</si>
  <si>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</si>
  <si>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</si>
  <si>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</si>
  <si>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</si>
  <si>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</si>
  <si>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</si>
  <si>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</si>
  <si>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</si>
  <si>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</si>
  <si>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</si>
  <si>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</si>
  <si>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</si>
  <si>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</si>
  <si>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</si>
  <si>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</si>
  <si>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</si>
  <si>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</si>
  <si>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</si>
  <si>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</si>
  <si>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</si>
  <si>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</si>
  <si>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</si>
  <si>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</si>
  <si>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</si>
  <si>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</si>
  <si>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</si>
  <si>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</si>
  <si>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</si>
  <si>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</si>
  <si>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</si>
  <si>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</si>
  <si>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</si>
  <si>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</si>
  <si>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</si>
  <si>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</si>
  <si>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</si>
  <si>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</si>
  <si>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</si>
  <si>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</si>
  <si>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</si>
  <si>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</si>
  <si>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</si>
  <si>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</si>
  <si>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</si>
  <si>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</si>
  <si>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</si>
  <si>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</si>
  <si>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</si>
  <si>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</si>
  <si>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</si>
  <si>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</si>
  <si>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</si>
  <si>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</si>
  <si>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</si>
  <si>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</si>
  <si>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</si>
  <si>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</si>
  <si>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</si>
  <si>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</si>
  <si>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</si>
  <si>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</si>
  <si>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</si>
  <si>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</si>
  <si>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</si>
  <si>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</si>
  <si>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</si>
  <si>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</si>
  <si>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</si>
  <si>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</si>
  <si>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</si>
  <si>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</si>
  <si>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</si>
  <si>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</si>
  <si>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</si>
  <si>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</si>
  <si>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</si>
  <si>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</si>
  <si>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</si>
  <si>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</si>
  <si>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</si>
  <si>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</si>
  <si>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</si>
  <si>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</si>
  <si>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</si>
  <si>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</si>
  <si>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</si>
  <si>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</si>
  <si>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</si>
  <si>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</si>
  <si>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</si>
  <si>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</si>
  <si>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</si>
  <si>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</si>
  <si>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</si>
  <si>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</si>
  <si>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</si>
  <si>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</si>
  <si>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</si>
  <si>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</si>
  <si>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</si>
  <si>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</si>
  <si>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</si>
  <si>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</si>
  <si>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</si>
  <si>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</si>
  <si>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</si>
  <si>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</si>
  <si>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</si>
  <si>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</si>
  <si>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</si>
  <si>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</si>
  <si>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</si>
  <si>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</si>
  <si>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</si>
  <si>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</si>
  <si>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</si>
  <si>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</si>
  <si>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</si>
  <si>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</si>
  <si>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</si>
  <si>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</si>
  <si>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</si>
  <si>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</si>
  <si>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</si>
  <si>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</si>
  <si>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</si>
  <si>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</si>
  <si>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</si>
  <si>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</si>
  <si>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</si>
  <si>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</si>
  <si>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</si>
  <si>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</si>
  <si>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</si>
  <si>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</si>
  <si>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</si>
  <si>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</si>
  <si>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</si>
  <si>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</si>
  <si>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</si>
  <si>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</si>
  <si>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</si>
  <si>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</si>
  <si>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</si>
  <si>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</si>
  <si>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</si>
  <si>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</si>
  <si>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</si>
  <si>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</si>
  <si>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</si>
  <si>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</si>
  <si>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</si>
  <si>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</si>
  <si>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</si>
  <si>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</si>
  <si>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</si>
  <si>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</si>
  <si>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</si>
  <si>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</si>
  <si>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</si>
  <si>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</si>
  <si>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</si>
  <si>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</si>
  <si>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</si>
  <si>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</si>
  <si>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</si>
  <si>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</si>
  <si>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</si>
  <si>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</si>
  <si>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</si>
  <si>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</si>
  <si>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</si>
  <si>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</si>
  <si>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</si>
  <si>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</si>
  <si>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</si>
  <si>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</si>
  <si>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</si>
  <si>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</si>
  <si>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</si>
  <si>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</si>
  <si>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</si>
  <si>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</si>
  <si>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</si>
  <si>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</si>
  <si>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</si>
  <si>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</si>
  <si>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</si>
  <si>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</si>
  <si>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</si>
  <si>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</si>
  <si>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</si>
  <si>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</si>
  <si>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</si>
  <si>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</si>
  <si>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</si>
  <si>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</si>
  <si>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</si>
  <si>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</si>
  <si>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</si>
  <si>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</si>
  <si>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</si>
  <si>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</si>
  <si>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</si>
  <si>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</si>
  <si>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</si>
  <si>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</si>
  <si>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</si>
  <si>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</si>
  <si>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</si>
  <si>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</si>
  <si>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</si>
  <si>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</si>
  <si>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</si>
  <si>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</si>
  <si>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</si>
  <si>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</si>
  <si>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</si>
  <si>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</si>
  <si>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</si>
  <si>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</si>
  <si>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</si>
  <si>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</si>
  <si>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</si>
  <si>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</si>
  <si>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</si>
  <si>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</si>
  <si>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</si>
  <si>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</si>
  <si>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</si>
  <si>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</si>
  <si>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</si>
  <si>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</si>
  <si>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</si>
  <si>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</si>
  <si>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</si>
  <si>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</si>
  <si>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</si>
  <si>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</si>
  <si>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</si>
  <si>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</si>
  <si>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</si>
  <si>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</si>
  <si>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</si>
  <si>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</si>
  <si>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</si>
  <si>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</si>
  <si>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</si>
  <si>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</si>
  <si>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</si>
  <si>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</si>
  <si>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</si>
  <si>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</si>
  <si>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</si>
  <si>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</si>
  <si>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</si>
  <si>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</si>
  <si>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</si>
  <si>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</si>
  <si>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</si>
  <si>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</si>
  <si>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</si>
  <si>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</si>
  <si>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</si>
  <si>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</si>
  <si>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</si>
  <si>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</si>
  <si>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</si>
  <si>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</si>
  <si>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</si>
  <si>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</si>
  <si>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</si>
  <si>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</si>
  <si>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</si>
  <si>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</si>
  <si>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</si>
  <si>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</si>
  <si>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</si>
  <si>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</si>
  <si>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</si>
  <si>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</si>
  <si>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</si>
  <si>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</si>
  <si>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</si>
  <si>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</si>
  <si>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</si>
  <si>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</si>
  <si>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</si>
  <si>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</si>
  <si>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</si>
  <si>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</si>
  <si>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</si>
  <si>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</si>
  <si>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</si>
  <si>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</si>
  <si>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</si>
  <si>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</si>
  <si>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</si>
  <si>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</si>
  <si>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</si>
  <si>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</si>
  <si>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</si>
  <si>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</si>
  <si>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</si>
  <si>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</si>
  <si>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</si>
  <si>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</si>
  <si>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</si>
  <si>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</si>
  <si>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</si>
  <si>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</si>
  <si>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</si>
  <si>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</si>
  <si>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</si>
  <si>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</si>
  <si>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</si>
  <si>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</si>
  <si>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</si>
  <si>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</si>
  <si>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</si>
  <si>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</si>
  <si>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</si>
  <si>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</si>
  <si>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</si>
  <si>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</si>
  <si>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</si>
  <si>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</si>
  <si>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</si>
  <si>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</si>
  <si>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</si>
  <si>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</si>
  <si>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</si>
  <si>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</si>
  <si>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</si>
  <si>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</si>
  <si>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</si>
  <si>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</si>
  <si>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</si>
  <si>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</si>
  <si>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</si>
  <si>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</si>
  <si>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</si>
  <si>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</si>
  <si>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</si>
  <si>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</si>
  <si>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</si>
  <si>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</si>
  <si>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</si>
  <si>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</si>
  <si>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</si>
  <si>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</si>
  <si>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</si>
  <si>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</si>
  <si>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</si>
  <si>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</si>
  <si>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</si>
  <si>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</si>
  <si>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</si>
  <si>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</si>
  <si>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</si>
  <si>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</si>
  <si>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</si>
  <si>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</si>
  <si>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</si>
  <si>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</si>
  <si>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</si>
  <si>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</si>
  <si>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</si>
  <si>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</si>
  <si>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</si>
  <si>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</si>
  <si>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</si>
  <si>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</si>
  <si>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</si>
  <si>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</si>
  <si>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</si>
  <si>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</si>
  <si>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</si>
  <si>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</si>
  <si>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</si>
  <si>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</si>
  <si>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</si>
  <si>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</si>
  <si>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</si>
  <si>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</si>
  <si>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</si>
  <si>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</si>
  <si>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</si>
  <si>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</si>
  <si>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</si>
  <si>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</si>
  <si>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</si>
  <si>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</si>
  <si>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</si>
  <si>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</si>
  <si>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</si>
  <si>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</si>
  <si>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</si>
  <si>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</si>
  <si>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</si>
  <si>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</si>
  <si>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</si>
  <si>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</si>
  <si>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</si>
  <si>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</si>
  <si>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</si>
  <si>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</si>
  <si>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</si>
  <si>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</si>
  <si>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</si>
  <si>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</si>
  <si>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</si>
  <si>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</si>
  <si>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</si>
  <si>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</si>
  <si>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</si>
  <si>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</si>
  <si>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</si>
  <si>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</si>
  <si>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</si>
  <si>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</si>
  <si>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</si>
  <si>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</si>
  <si>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</si>
  <si>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</si>
  <si>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</si>
  <si>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</si>
  <si>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</si>
  <si>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</si>
  <si>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</si>
  <si>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</si>
  <si>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</si>
  <si>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</si>
  <si>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</si>
  <si>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</si>
  <si>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</si>
  <si>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</si>
  <si>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</si>
  <si>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</si>
  <si>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</si>
  <si>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</si>
  <si>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</si>
  <si>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</si>
  <si>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</si>
  <si>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</si>
  <si>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</si>
  <si>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</si>
  <si>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</si>
  <si>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</si>
  <si>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</si>
  <si>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</si>
  <si>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</si>
  <si>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</si>
  <si>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</si>
  <si>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</si>
  <si>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</si>
  <si>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</si>
  <si>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</si>
  <si>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</si>
  <si>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</si>
  <si>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</si>
  <si>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</si>
  <si>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</si>
  <si>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</si>
  <si>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</si>
  <si>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</si>
  <si>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</si>
  <si>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</si>
  <si>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</si>
  <si>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</si>
  <si>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</si>
  <si>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</si>
  <si>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</si>
  <si>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</si>
  <si>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</si>
  <si>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</si>
  <si>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</si>
  <si>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</si>
  <si>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</si>
  <si>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</si>
  <si>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</si>
  <si>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</si>
  <si>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</si>
  <si>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</si>
  <si>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</si>
  <si>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</si>
  <si>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</si>
  <si>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</si>
  <si>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</si>
  <si>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</si>
  <si>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</si>
  <si>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</si>
  <si>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</si>
  <si>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</si>
  <si>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</si>
  <si>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</si>
  <si>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</si>
  <si>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</si>
  <si>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</si>
  <si>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</si>
  <si>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</si>
  <si>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</si>
  <si>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</si>
  <si>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</si>
  <si>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</si>
  <si>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</si>
  <si>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</si>
  <si>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</si>
  <si>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</si>
  <si>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</si>
  <si>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</si>
  <si>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</si>
  <si>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</si>
  <si>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</si>
  <si>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</si>
  <si>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</si>
  <si>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</si>
  <si>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</si>
  <si>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</si>
  <si>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</si>
  <si>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</si>
  <si>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</si>
  <si>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</si>
  <si>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</si>
  <si>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</si>
  <si>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</si>
  <si>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</si>
  <si>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</si>
  <si>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</si>
  <si>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</si>
  <si>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</si>
  <si>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</si>
  <si>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</si>
  <si>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</si>
  <si>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</si>
  <si>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</si>
  <si>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</si>
  <si>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</si>
  <si>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</si>
  <si>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</si>
  <si>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</si>
  <si>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</si>
  <si>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</si>
  <si>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</si>
  <si>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</si>
  <si>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</si>
  <si>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</si>
  <si>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</si>
  <si>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</si>
  <si>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</si>
  <si>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</si>
  <si>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</si>
  <si>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</si>
  <si>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</si>
  <si>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</si>
  <si>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</si>
  <si>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</si>
  <si>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</si>
  <si>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</si>
  <si>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</si>
  <si>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</si>
  <si>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</si>
  <si>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</si>
  <si>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</si>
  <si>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</si>
  <si>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</si>
  <si>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</si>
  <si>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</si>
  <si>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</si>
  <si>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</si>
  <si>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</si>
  <si>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</si>
  <si>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</si>
  <si>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</si>
  <si>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</si>
  <si>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</si>
  <si>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</si>
  <si>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</si>
  <si>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</si>
  <si>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</si>
  <si>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</si>
  <si>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</si>
  <si>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</si>
  <si>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</si>
  <si>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</si>
  <si>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</si>
  <si>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</si>
  <si>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</si>
  <si>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</si>
  <si>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</si>
  <si>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</si>
  <si>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</si>
  <si>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</si>
  <si>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</si>
  <si>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</si>
  <si>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</si>
  <si>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</si>
  <si>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</si>
  <si>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</si>
  <si>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</si>
  <si>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</si>
  <si>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</si>
  <si>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</si>
  <si>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</si>
  <si>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</si>
  <si>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</si>
  <si>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</si>
  <si>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</si>
  <si>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</si>
  <si>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</si>
  <si>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</si>
  <si>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</si>
  <si>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</si>
  <si>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</si>
  <si>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</si>
  <si>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</si>
  <si>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</si>
  <si>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</si>
  <si>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</si>
  <si>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</si>
  <si>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</si>
  <si>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</si>
  <si>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</si>
  <si>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</si>
  <si>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</si>
  <si>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</si>
  <si>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</si>
  <si>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</si>
  <si>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</si>
  <si>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</si>
  <si>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</si>
  <si>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</si>
  <si>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</si>
  <si>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</si>
  <si>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</si>
  <si>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</si>
  <si>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</si>
  <si>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</si>
  <si>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</si>
  <si>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</si>
  <si>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</si>
  <si>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</si>
  <si>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</si>
  <si>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</si>
  <si>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</si>
  <si>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</si>
  <si>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</si>
  <si>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</si>
  <si>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</si>
  <si>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</si>
  <si>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</si>
  <si>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</si>
  <si>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</si>
  <si>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</si>
  <si>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</si>
  <si>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</si>
  <si>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</si>
  <si>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</si>
  <si>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</si>
  <si>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</si>
  <si>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</si>
  <si>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</si>
  <si>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</si>
  <si>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</si>
  <si>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</si>
  <si>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</si>
  <si>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</si>
  <si>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</si>
  <si>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</si>
  <si>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</si>
  <si>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</si>
  <si>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</si>
  <si>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</si>
  <si>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</si>
  <si>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</si>
  <si>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</si>
  <si>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</si>
  <si>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</si>
  <si>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</si>
  <si>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</si>
  <si>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</si>
  <si>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</si>
  <si>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</si>
  <si>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</si>
  <si>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</si>
  <si>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</si>
  <si>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</si>
  <si>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</si>
  <si>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</si>
  <si>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</si>
  <si>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</si>
  <si>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</si>
  <si>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</si>
  <si>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</si>
  <si>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</si>
  <si>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</si>
  <si>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</si>
  <si>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</si>
  <si>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</si>
  <si>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</si>
  <si>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</si>
  <si>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</si>
  <si>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</si>
  <si>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</si>
  <si>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</si>
  <si>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</si>
  <si>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</si>
  <si>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</si>
  <si>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</si>
  <si>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</si>
  <si>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</si>
  <si>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</si>
  <si>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</si>
  <si>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</si>
  <si>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</si>
  <si>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</si>
  <si>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</si>
  <si>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</si>
  <si>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</si>
  <si>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</si>
  <si>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</si>
  <si>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</si>
  <si>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</si>
  <si>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</si>
  <si>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</si>
  <si>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</si>
  <si>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</si>
  <si>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</si>
  <si>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</si>
  <si>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</si>
  <si>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</si>
  <si>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</si>
  <si>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</si>
  <si>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</si>
  <si>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</si>
  <si>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</si>
  <si>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</si>
  <si>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</si>
  <si>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</si>
  <si>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</si>
  <si>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</si>
  <si>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</si>
  <si>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</si>
  <si>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</si>
  <si>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</si>
  <si>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</si>
  <si>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</si>
  <si>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</si>
  <si>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</si>
  <si>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</si>
  <si>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</si>
  <si>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</si>
  <si>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</si>
  <si>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</si>
  <si>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</si>
  <si>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</si>
  <si>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</si>
  <si>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</si>
  <si>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</si>
  <si>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</si>
  <si>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</si>
  <si>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</si>
  <si>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</si>
  <si>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</si>
  <si>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</si>
  <si>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</si>
  <si>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</si>
  <si>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</si>
  <si>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</si>
  <si>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</si>
  <si>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</si>
  <si>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</si>
  <si>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</si>
  <si>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</si>
  <si>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</si>
  <si>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</si>
  <si>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</si>
  <si>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</si>
  <si>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</si>
  <si>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</si>
  <si>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</si>
  <si>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</si>
  <si>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</si>
  <si>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</si>
  <si>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</si>
  <si>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</si>
  <si>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</si>
  <si>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</si>
  <si>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</si>
  <si>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</si>
  <si>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</si>
  <si>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</si>
  <si>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</si>
  <si>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</si>
  <si>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</si>
  <si>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</si>
  <si>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</si>
  <si>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</si>
  <si>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</si>
  <si>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</si>
  <si>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</si>
  <si>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</si>
  <si>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</si>
  <si>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</si>
  <si>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</si>
  <si>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</si>
  <si>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</si>
  <si>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</si>
  <si>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</si>
  <si>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</si>
  <si>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</si>
  <si>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</si>
  <si>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</si>
  <si>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</si>
  <si>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</si>
  <si>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</si>
  <si>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</si>
  <si>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</si>
  <si>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</si>
  <si>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</si>
  <si>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</si>
  <si>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</si>
  <si>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</si>
  <si>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</si>
  <si>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</si>
  <si>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</si>
  <si>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</si>
  <si>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</si>
  <si>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</si>
  <si>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</si>
  <si>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</si>
  <si>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</si>
  <si>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</si>
  <si>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</si>
  <si>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</si>
  <si>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</si>
  <si>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</si>
  <si>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</si>
  <si>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</si>
  <si>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</si>
  <si>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</si>
  <si>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</si>
  <si>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</si>
  <si>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</si>
  <si>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</si>
  <si>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</si>
  <si>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</si>
  <si>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</si>
  <si>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</si>
  <si>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</si>
  <si>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</si>
  <si>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</si>
  <si>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</si>
  <si>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</si>
  <si>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</si>
  <si>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</si>
  <si>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</si>
  <si>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</si>
  <si>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</si>
  <si>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</si>
  <si>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</si>
  <si>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</si>
  <si>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</si>
  <si>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</si>
  <si>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</si>
  <si>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</si>
  <si>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</si>
  <si>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</si>
  <si>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</si>
  <si>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</si>
  <si>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</si>
  <si>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</si>
  <si>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</si>
  <si>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</si>
  <si>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</si>
  <si>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</si>
  <si>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</si>
  <si>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</si>
  <si>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</si>
  <si>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</si>
  <si>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</si>
  <si>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</si>
  <si>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</si>
  <si>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</si>
  <si>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</si>
  <si>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</si>
  <si>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</si>
  <si>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</si>
  <si>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</si>
  <si>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</si>
  <si>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</si>
  <si>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</si>
  <si>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</si>
  <si>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</si>
  <si>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</si>
  <si>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</si>
  <si>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</si>
  <si>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</si>
  <si>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</si>
  <si>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</si>
  <si>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</si>
  <si>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</si>
  <si>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</si>
  <si>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</si>
  <si>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</si>
  <si>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</si>
  <si>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</si>
  <si>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</si>
  <si>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</si>
  <si>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</si>
  <si>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</si>
  <si>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</si>
  <si>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</si>
  <si>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</si>
  <si>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</si>
  <si>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</si>
  <si>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</si>
  <si>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</si>
  <si>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</si>
  <si>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</si>
  <si>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</si>
  <si>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</si>
  <si>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</si>
  <si>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</si>
  <si>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</si>
  <si>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</si>
  <si>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</si>
  <si>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</si>
  <si>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</si>
  <si>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</si>
  <si>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</si>
  <si>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</si>
  <si>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</si>
  <si>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</si>
  <si>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</si>
  <si>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</si>
  <si>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</si>
  <si>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</si>
  <si>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</si>
  <si>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</si>
  <si>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</si>
  <si>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</si>
  <si>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</si>
  <si>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</si>
  <si>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</si>
  <si>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</si>
  <si>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</si>
  <si>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</si>
  <si>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</si>
  <si>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</si>
  <si>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</si>
  <si>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</si>
  <si>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</si>
  <si>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</si>
  <si>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</si>
  <si>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</si>
  <si>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</si>
  <si>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</si>
  <si>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</si>
  <si>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</si>
  <si>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</si>
  <si>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</si>
  <si>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</si>
  <si>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</si>
  <si>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</si>
  <si>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</si>
  <si>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</si>
  <si>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</si>
  <si>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</si>
  <si>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</si>
  <si>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</si>
  <si>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</si>
  <si>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</si>
  <si>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</si>
  <si>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</si>
  <si>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</si>
  <si>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</si>
  <si>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</si>
  <si>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</si>
  <si>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</si>
  <si>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</si>
  <si>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</si>
  <si>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</si>
  <si>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</si>
  <si>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</si>
  <si>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</si>
  <si>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</si>
  <si>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</si>
  <si>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</si>
  <si>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</si>
  <si>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</si>
  <si>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</si>
  <si>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</si>
  <si>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</si>
  <si>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</si>
  <si>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</si>
  <si>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</si>
  <si>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</si>
  <si>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</si>
  <si>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</si>
  <si>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</si>
  <si>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</si>
  <si>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</si>
  <si>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</si>
  <si>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</si>
  <si>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</si>
  <si>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</si>
  <si>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</si>
  <si>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</si>
  <si>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</si>
  <si>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</si>
  <si>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</si>
  <si>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</si>
  <si>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</si>
  <si>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</si>
  <si>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</si>
  <si>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</si>
  <si>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</si>
  <si>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</si>
  <si>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</si>
  <si>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</si>
  <si>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</si>
  <si>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</si>
  <si>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</si>
  <si>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</si>
  <si>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</si>
  <si>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</si>
  <si>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</si>
  <si>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</si>
  <si>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</si>
  <si>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</si>
  <si>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</si>
  <si>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</si>
  <si>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</si>
  <si>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</si>
  <si>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</si>
  <si>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</si>
  <si>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</si>
  <si>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</si>
  <si>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</si>
  <si>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</si>
  <si>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</si>
  <si>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</si>
  <si>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</si>
  <si>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</si>
  <si>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</si>
  <si>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</si>
  <si>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</si>
  <si>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</si>
  <si>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</si>
  <si>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</si>
  <si>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</si>
  <si>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</si>
  <si>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</si>
  <si>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</si>
  <si>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</si>
  <si>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</si>
  <si>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</si>
  <si>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</si>
  <si>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</si>
  <si>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</si>
  <si>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</si>
  <si>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</si>
  <si>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</si>
  <si>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</si>
  <si>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</si>
  <si>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</si>
  <si>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</si>
  <si>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</si>
  <si>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</si>
  <si>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</si>
  <si>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</si>
  <si>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</si>
  <si>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</si>
  <si>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</si>
  <si>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</si>
  <si>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</si>
  <si>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</si>
  <si>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</si>
  <si>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</si>
  <si>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</si>
  <si>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</si>
  <si>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</si>
  <si>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</si>
  <si>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</si>
  <si>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</si>
  <si>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</si>
  <si>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</si>
  <si>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</si>
  <si>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</si>
  <si>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</si>
  <si>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</si>
  <si>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</si>
  <si>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</si>
  <si>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</si>
  <si>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</si>
  <si>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</si>
  <si>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</si>
  <si>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</si>
  <si>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</si>
  <si>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</si>
  <si>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</si>
  <si>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</si>
  <si>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</si>
  <si>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</si>
  <si>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</si>
  <si>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</si>
  <si>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</si>
  <si>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</si>
  <si>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</si>
  <si>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</si>
  <si>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</si>
  <si>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</si>
  <si>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</si>
  <si>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</si>
  <si>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</si>
  <si>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</si>
  <si>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</si>
  <si>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</si>
  <si>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</si>
  <si>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</si>
  <si>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</si>
  <si>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</si>
  <si>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</si>
  <si>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</si>
  <si>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</si>
  <si>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</si>
  <si>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</si>
  <si>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</si>
  <si>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</si>
  <si>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</si>
  <si>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</si>
  <si>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</si>
  <si>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</si>
  <si>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</si>
  <si>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</si>
  <si>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</si>
  <si>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</si>
  <si>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</si>
  <si>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</si>
  <si>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</si>
  <si>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</si>
  <si>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</si>
  <si>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</si>
  <si>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</si>
  <si>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</si>
  <si>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</si>
  <si>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</si>
  <si>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</si>
  <si>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</si>
  <si>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</si>
  <si>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</si>
  <si>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</si>
  <si>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</si>
  <si>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</si>
  <si>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</si>
  <si>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</si>
  <si>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</si>
  <si>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</si>
  <si>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</si>
  <si>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</si>
  <si>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</si>
  <si>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</si>
  <si>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</si>
  <si>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</si>
  <si>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</si>
  <si>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</si>
  <si>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</si>
  <si>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</si>
  <si>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</si>
  <si>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</si>
  <si>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</si>
  <si>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</si>
  <si>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</si>
  <si>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</si>
  <si>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</si>
  <si>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</si>
  <si>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</si>
  <si>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</si>
  <si>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</si>
  <si>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</si>
  <si>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</si>
  <si>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</si>
  <si>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</si>
  <si>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</si>
  <si>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</si>
  <si>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</si>
  <si>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</si>
  <si>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</si>
  <si>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</si>
  <si>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</si>
  <si>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</si>
  <si>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</si>
  <si>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</si>
  <si>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</si>
  <si>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</si>
  <si>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</si>
  <si>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</si>
  <si>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</si>
  <si>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</si>
  <si>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</si>
  <si>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</si>
  <si>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</si>
  <si>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</si>
  <si>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</si>
  <si>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</si>
  <si>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</si>
  <si>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</si>
  <si>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</si>
  <si>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</si>
  <si>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</si>
  <si>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</si>
  <si>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</si>
  <si>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</si>
  <si>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</si>
  <si>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</si>
  <si>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</si>
  <si>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</si>
  <si>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</si>
  <si>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</si>
  <si>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</si>
  <si>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</si>
  <si>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</si>
  <si>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</si>
  <si>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</si>
  <si>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</si>
  <si>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</si>
  <si>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</si>
  <si>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</si>
  <si>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</si>
  <si>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</si>
  <si>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</si>
  <si>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</si>
  <si>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</si>
  <si>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</si>
  <si>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</si>
  <si>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</si>
  <si>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</si>
  <si>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</si>
  <si>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</si>
  <si>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</si>
  <si>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</si>
  <si>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</si>
  <si>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</si>
  <si>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</si>
  <si>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</si>
  <si>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</si>
  <si>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</si>
  <si>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</si>
  <si>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</si>
  <si>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</si>
  <si>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</si>
  <si>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</si>
  <si>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</si>
  <si>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</si>
  <si>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</si>
  <si>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</si>
  <si>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</si>
  <si>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</si>
  <si>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</si>
  <si>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</si>
  <si>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</si>
  <si>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</si>
  <si>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</si>
  <si>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</si>
  <si>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</si>
  <si>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</si>
  <si>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</si>
  <si>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</si>
  <si>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</si>
  <si>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</si>
  <si>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</si>
  <si>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</si>
  <si>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</si>
  <si>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</si>
  <si>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</si>
  <si>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</si>
  <si>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</si>
  <si>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</si>
  <si>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</si>
  <si>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</si>
  <si>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</si>
  <si>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</si>
  <si>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</si>
  <si>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</si>
  <si>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</si>
  <si>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</si>
  <si>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</si>
  <si>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</si>
  <si>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</si>
  <si>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</si>
  <si>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</si>
  <si>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</si>
  <si>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</si>
  <si>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</si>
  <si>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</si>
  <si>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</si>
  <si>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</si>
  <si>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</si>
  <si>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</si>
  <si>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</si>
  <si>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</si>
  <si>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</si>
  <si>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</si>
  <si>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</si>
  <si>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</si>
  <si>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</si>
  <si>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</si>
  <si>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</si>
  <si>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</si>
  <si>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</si>
  <si>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</si>
  <si>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</si>
  <si>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</si>
  <si>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</si>
  <si>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</si>
  <si>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</si>
  <si>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</si>
  <si>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</si>
  <si>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</si>
  <si>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</si>
  <si>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</si>
  <si>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</si>
  <si>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</si>
  <si>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</si>
  <si>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</si>
  <si>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</si>
  <si>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</si>
  <si>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</si>
  <si>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</si>
  <si>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</si>
  <si>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</si>
  <si>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</si>
  <si>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</si>
  <si>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</si>
  <si>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</si>
  <si>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</si>
  <si>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</si>
  <si>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</si>
  <si>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</si>
  <si>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</si>
  <si>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</si>
  <si>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</si>
  <si>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</si>
  <si>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</si>
  <si>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</si>
  <si>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</si>
  <si>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</si>
  <si>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</si>
  <si>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</si>
  <si>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</si>
  <si>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</si>
  <si>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</si>
  <si>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</si>
  <si>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</si>
  <si>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</si>
  <si>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</si>
  <si>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</si>
  <si>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</si>
  <si>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</si>
  <si>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</si>
  <si>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</si>
  <si>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</si>
  <si>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</si>
  <si>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</si>
  <si>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</si>
  <si>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</si>
  <si>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</si>
  <si>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</si>
  <si>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</si>
  <si>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</si>
  <si>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</si>
  <si>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</si>
  <si>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</si>
  <si>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</si>
  <si>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</si>
  <si>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</si>
  <si>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</si>
  <si>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</si>
  <si>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</si>
  <si>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</si>
  <si>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</si>
  <si>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</si>
  <si>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</si>
  <si>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</si>
  <si>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</si>
  <si>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</si>
  <si>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</si>
  <si>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</si>
  <si>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</si>
  <si>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</si>
  <si>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</si>
  <si>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</si>
  <si>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</si>
  <si>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</si>
  <si>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</si>
  <si>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</si>
  <si>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</si>
  <si>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</si>
  <si>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</si>
  <si>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</si>
  <si>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</si>
  <si>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</si>
  <si>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</si>
  <si>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</si>
  <si>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</si>
  <si>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</si>
  <si>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</si>
  <si>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</si>
  <si>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</si>
  <si>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</si>
  <si>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</si>
  <si>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</si>
  <si>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</si>
  <si>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</si>
  <si>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</si>
  <si>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</si>
  <si>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</si>
  <si>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</si>
  <si>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</si>
  <si>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</si>
  <si>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</si>
  <si>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</si>
  <si>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</si>
  <si>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</si>
  <si>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</si>
  <si>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</si>
  <si>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</si>
  <si>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</si>
  <si>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</si>
  <si>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</si>
  <si>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</si>
  <si>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</si>
  <si>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</si>
  <si>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</si>
  <si>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</si>
  <si>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</si>
  <si>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</si>
  <si>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</si>
  <si>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</si>
  <si>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</si>
  <si>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</si>
  <si>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</si>
  <si>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</si>
  <si>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</si>
  <si>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</si>
  <si>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</si>
  <si>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</si>
  <si>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</si>
  <si>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</si>
  <si>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</si>
  <si>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</si>
  <si>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</si>
  <si>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</si>
  <si>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</si>
  <si>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</si>
  <si>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</si>
  <si>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</si>
  <si>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</si>
  <si>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</si>
  <si>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</si>
  <si>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</si>
  <si>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</si>
  <si>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</si>
  <si>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</si>
  <si>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</si>
  <si>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</si>
  <si>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</si>
  <si>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</si>
  <si>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</si>
  <si>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</si>
  <si>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</si>
  <si>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</si>
  <si>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</si>
  <si>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</si>
  <si>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</si>
  <si>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</si>
  <si>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</si>
  <si>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</si>
  <si>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</si>
  <si>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</si>
  <si>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</si>
  <si>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</si>
  <si>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</si>
  <si>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</si>
  <si>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</si>
  <si>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</si>
  <si>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</si>
  <si>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</si>
  <si>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</si>
  <si>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</si>
  <si>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</si>
  <si>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</si>
  <si>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</si>
  <si>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</si>
  <si>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</si>
  <si>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</si>
  <si>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</si>
  <si>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</si>
  <si>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</si>
  <si>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</si>
  <si>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</si>
  <si>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</si>
  <si>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</si>
  <si>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</si>
  <si>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</si>
  <si>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</si>
  <si>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</si>
  <si>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</si>
  <si>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</si>
  <si>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</si>
  <si>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</si>
  <si>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</si>
  <si>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</si>
  <si>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</si>
  <si>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</si>
  <si>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</si>
  <si>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</si>
  <si>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</si>
  <si>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</si>
  <si>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</si>
  <si>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</si>
  <si>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</si>
  <si>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</si>
  <si>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</si>
  <si>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</si>
  <si>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</si>
  <si>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</si>
  <si>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</si>
  <si>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</si>
  <si>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</si>
  <si>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</si>
  <si>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</si>
  <si>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</si>
  <si>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</si>
  <si>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</si>
  <si>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</si>
  <si>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</si>
  <si>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</si>
  <si>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</si>
  <si>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</si>
  <si>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</si>
  <si>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</si>
  <si>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</si>
  <si>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</si>
  <si>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</si>
  <si>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</si>
  <si>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</si>
  <si>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</si>
  <si>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</si>
  <si>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</si>
  <si>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</si>
  <si>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</si>
  <si>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</si>
  <si>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</si>
  <si>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</si>
  <si>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</si>
  <si>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</si>
  <si>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</si>
  <si>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</si>
  <si>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</si>
  <si>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</si>
  <si>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</si>
  <si>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</si>
  <si>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</si>
  <si>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</si>
  <si>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</si>
  <si>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</si>
  <si>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</si>
  <si>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</si>
  <si>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</si>
  <si>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</si>
  <si>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</si>
  <si>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</si>
  <si>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</si>
  <si>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</si>
  <si>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</si>
  <si>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</si>
  <si>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</si>
  <si>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</si>
  <si>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</si>
  <si>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</si>
  <si>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</si>
  <si>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</si>
  <si>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</si>
  <si>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</si>
  <si>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</si>
  <si>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</si>
  <si>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</si>
  <si>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</si>
  <si>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</si>
  <si>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</si>
  <si>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</si>
  <si>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</si>
  <si>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</si>
  <si>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</si>
  <si>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</si>
  <si>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</si>
  <si>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</si>
  <si>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</si>
  <si>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</si>
  <si>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</si>
  <si>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</si>
  <si>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</si>
  <si>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</si>
  <si>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</si>
  <si>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</si>
  <si>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</si>
  <si>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</si>
  <si>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</si>
  <si>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</si>
  <si>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</si>
  <si>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</si>
  <si>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</si>
  <si>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</si>
  <si>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</si>
  <si>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</si>
  <si>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</si>
  <si>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</si>
  <si>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</si>
  <si>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</si>
  <si>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</si>
  <si>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</si>
  <si>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</si>
  <si>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</si>
  <si>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</si>
  <si>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</si>
  <si>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</si>
  <si>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</si>
  <si>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</si>
  <si>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</si>
  <si>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</si>
  <si>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</si>
  <si>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</si>
  <si>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</si>
  <si>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</si>
  <si>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</si>
  <si>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</si>
  <si>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</si>
  <si>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</si>
  <si>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</si>
  <si>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</si>
  <si>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</si>
  <si>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</si>
  <si>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</si>
  <si>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</si>
  <si>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</si>
  <si>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</si>
  <si>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</si>
  <si>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</si>
  <si>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</si>
  <si>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</si>
  <si>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</si>
  <si>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</si>
  <si>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</si>
  <si>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</si>
  <si>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</si>
  <si>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</si>
  <si>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</si>
  <si>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</si>
  <si>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</si>
  <si>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</si>
  <si>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</si>
  <si>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</si>
  <si>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</si>
  <si>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</si>
  <si>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</si>
  <si>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</si>
  <si>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</si>
  <si>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</si>
  <si>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</si>
  <si>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</si>
  <si>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</si>
  <si>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</si>
  <si>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</si>
  <si>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</si>
  <si>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</si>
  <si>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</si>
  <si>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</si>
  <si>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</si>
  <si>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</si>
  <si>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</si>
  <si>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</si>
  <si>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</si>
  <si>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</si>
  <si>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</si>
  <si>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</si>
  <si>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</si>
  <si>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</si>
  <si>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</si>
  <si>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</si>
  <si>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</si>
  <si>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</si>
  <si>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</si>
  <si>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</si>
  <si>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</si>
  <si>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</si>
  <si>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</si>
  <si>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</si>
  <si>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</si>
  <si>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</si>
  <si>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</si>
  <si>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</si>
  <si>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</si>
  <si>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</si>
  <si>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</si>
  <si>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</si>
  <si>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</si>
  <si>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</si>
  <si>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</si>
  <si>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</si>
  <si>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</si>
  <si>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</si>
  <si>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</si>
  <si>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</si>
  <si>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</si>
  <si>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</si>
  <si>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</si>
  <si>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</si>
  <si>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</si>
  <si>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</si>
  <si>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</si>
  <si>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</si>
  <si>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</si>
  <si>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</si>
  <si>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</si>
  <si>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</si>
  <si>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</si>
  <si>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</si>
  <si>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</si>
  <si>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</si>
  <si>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</si>
  <si>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</si>
  <si>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</si>
  <si>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</si>
  <si>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</si>
  <si>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</si>
  <si>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</si>
  <si>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</si>
  <si>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</si>
  <si>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</si>
  <si>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</si>
  <si>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</si>
  <si>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</si>
  <si>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</si>
  <si>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</si>
  <si>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</si>
  <si>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</si>
  <si>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</si>
  <si>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</si>
  <si>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</si>
  <si>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</si>
  <si>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</si>
  <si>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</si>
  <si>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</si>
  <si>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</si>
  <si>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</si>
  <si>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</si>
  <si>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</si>
  <si>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</si>
  <si>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</si>
  <si>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</si>
  <si>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</si>
  <si>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</si>
  <si>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</si>
  <si>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</si>
  <si>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</si>
  <si>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</si>
  <si>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</si>
  <si>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</si>
  <si>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</si>
  <si>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</si>
  <si>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</si>
  <si>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</si>
  <si>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</si>
  <si>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</si>
  <si>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</si>
  <si>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</si>
  <si>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</si>
  <si>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</si>
  <si>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</si>
  <si>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</si>
  <si>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</si>
  <si>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</si>
  <si>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</si>
  <si>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</si>
  <si>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</si>
  <si>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</si>
  <si>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</si>
  <si>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</si>
  <si>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</si>
  <si>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</si>
  <si>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</si>
  <si>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</si>
  <si>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</si>
  <si>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</si>
  <si>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</si>
  <si>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</si>
  <si>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</si>
  <si>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</si>
  <si>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</si>
  <si>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</si>
  <si>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</si>
  <si>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</si>
  <si>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</si>
  <si>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</si>
  <si>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</si>
  <si>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</si>
  <si>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</si>
  <si>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</si>
  <si>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</si>
  <si>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</si>
  <si>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</si>
  <si>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</si>
  <si>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</si>
  <si>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</si>
  <si>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</si>
  <si>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</si>
  <si>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</si>
  <si>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</si>
  <si>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</si>
  <si>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</si>
  <si>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</si>
  <si>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</si>
  <si>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</si>
  <si>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</si>
  <si>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</si>
  <si>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</si>
  <si>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</si>
  <si>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</si>
  <si>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</si>
  <si>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</si>
  <si>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</si>
  <si>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</si>
  <si>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</si>
  <si>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</si>
  <si>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</si>
  <si>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</si>
  <si>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</si>
  <si>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</si>
  <si>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</si>
  <si>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</si>
  <si>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</si>
  <si>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</si>
  <si>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</si>
  <si>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</si>
  <si>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</si>
  <si>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</si>
  <si>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</si>
  <si>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</si>
  <si>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</si>
  <si>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</si>
  <si>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</si>
  <si>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</si>
  <si>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</si>
  <si>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</si>
  <si>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</si>
  <si>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</si>
  <si>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</si>
  <si>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</si>
  <si>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</si>
  <si>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</si>
  <si>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</si>
  <si>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</si>
  <si>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</si>
  <si>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</si>
  <si>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</si>
  <si>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</si>
  <si>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</si>
  <si>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</si>
  <si>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</si>
  <si>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</si>
  <si>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</si>
  <si>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</si>
  <si>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</si>
  <si>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</si>
  <si>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</si>
  <si>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</si>
  <si>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</si>
  <si>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</si>
  <si>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</si>
  <si>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</si>
  <si>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</si>
  <si>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</si>
  <si>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</si>
  <si>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</si>
  <si>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</si>
  <si>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</si>
  <si>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</si>
  <si>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</si>
  <si>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</si>
  <si>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</si>
  <si>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</si>
  <si>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</si>
  <si>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</si>
  <si>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</si>
  <si>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</si>
  <si>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</si>
  <si>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</si>
  <si>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</si>
  <si>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</si>
  <si>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</si>
  <si>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</si>
  <si>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</si>
  <si>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</si>
  <si>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</si>
  <si>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</si>
  <si>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</si>
  <si>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</si>
  <si>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</si>
  <si>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</si>
  <si>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</si>
  <si>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</si>
  <si>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</si>
  <si>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</si>
  <si>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</si>
  <si>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</si>
  <si>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</si>
  <si>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</si>
  <si>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</si>
  <si>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</si>
  <si>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</si>
  <si>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</si>
  <si>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</si>
  <si>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</si>
  <si>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</si>
  <si>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</si>
  <si>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</si>
  <si>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</si>
  <si>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</si>
  <si>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</si>
  <si>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</si>
  <si>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</si>
  <si>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</si>
  <si>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</si>
  <si>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</si>
  <si>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</si>
  <si>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</si>
  <si>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</si>
  <si>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</si>
  <si>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</si>
  <si>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</si>
  <si>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</si>
  <si>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</si>
  <si>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</si>
  <si>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</si>
  <si>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</si>
  <si>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</si>
  <si>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</si>
  <si>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</si>
  <si>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</si>
  <si>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</si>
  <si>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</si>
  <si>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</si>
  <si>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</si>
  <si>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</si>
  <si>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</si>
  <si>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</si>
  <si>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</si>
  <si>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</si>
  <si>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</si>
  <si>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</si>
  <si>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</si>
  <si>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</si>
  <si>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</si>
  <si>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</si>
  <si>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</si>
  <si>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</si>
  <si>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</si>
  <si>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</si>
  <si>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</si>
  <si>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</si>
  <si>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</si>
  <si>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</si>
  <si>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</si>
  <si>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</si>
  <si>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</si>
  <si>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</si>
  <si>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</si>
  <si>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</si>
  <si>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</si>
  <si>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</si>
  <si>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</si>
  <si>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</si>
  <si>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</si>
  <si>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</si>
  <si>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</si>
  <si>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</si>
  <si>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</si>
  <si>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</si>
  <si>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</si>
  <si>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</si>
  <si>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</si>
  <si>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</si>
  <si>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</si>
  <si>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</si>
  <si>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</si>
  <si>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</si>
  <si>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</si>
  <si>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</si>
  <si>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</si>
  <si>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</si>
  <si>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</si>
  <si>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</si>
  <si>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</si>
  <si>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</si>
  <si>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</si>
  <si>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</si>
  <si>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</si>
  <si>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</si>
  <si>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</si>
  <si>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</si>
  <si>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</si>
  <si>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</si>
  <si>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</si>
  <si>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</si>
  <si>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</si>
  <si>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</si>
  <si>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</si>
  <si>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</si>
  <si>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</si>
  <si>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</si>
  <si>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</si>
  <si>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</si>
  <si>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</si>
  <si>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</si>
  <si>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</si>
  <si>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</si>
  <si>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</si>
  <si>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</si>
  <si>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</si>
  <si>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</si>
  <si>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</si>
  <si>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</si>
  <si>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</si>
  <si>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</si>
  <si>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</si>
  <si>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</si>
  <si>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</si>
  <si>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</si>
  <si>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</si>
  <si>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</si>
  <si>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</si>
  <si>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</si>
  <si>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</si>
  <si>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</si>
  <si>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</si>
  <si>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</si>
  <si>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</si>
  <si>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</si>
  <si>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</si>
  <si>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</si>
  <si>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</si>
  <si>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</si>
  <si>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</si>
  <si>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</si>
  <si>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</si>
  <si>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</si>
  <si>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</si>
  <si>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</si>
  <si>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</si>
  <si>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</si>
  <si>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</si>
  <si>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</si>
  <si>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</si>
  <si>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</si>
  <si>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</si>
  <si>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</si>
  <si>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</si>
  <si>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</si>
  <si>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</si>
  <si>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</si>
  <si>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</si>
  <si>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</si>
  <si>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</si>
  <si>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</si>
  <si>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</si>
  <si>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</si>
  <si>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</si>
  <si>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</si>
  <si>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</si>
  <si>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</si>
  <si>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</si>
  <si>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</si>
  <si>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</si>
  <si>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</si>
  <si>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</si>
  <si>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</si>
  <si>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</si>
  <si>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</si>
  <si>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</si>
  <si>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</si>
  <si>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</si>
  <si>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</si>
  <si>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</si>
  <si>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</si>
  <si>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</si>
  <si>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</si>
  <si>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</si>
  <si>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</si>
  <si>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</si>
  <si>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</si>
  <si>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</si>
  <si>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</si>
  <si>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</si>
  <si>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</si>
  <si>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</si>
  <si>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</si>
  <si>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</si>
  <si>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</si>
  <si>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</si>
  <si>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</si>
  <si>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</si>
  <si>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</si>
  <si>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</si>
  <si>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</si>
  <si>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</si>
  <si>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</si>
  <si>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</si>
  <si>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</si>
  <si>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</si>
  <si>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</si>
  <si>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</si>
  <si>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</si>
  <si>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</si>
  <si>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</si>
  <si>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</si>
  <si>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</si>
  <si>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</si>
  <si>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</si>
  <si>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</si>
  <si>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</si>
  <si>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</si>
  <si>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</si>
  <si>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</si>
  <si>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</si>
  <si>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</si>
  <si>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</si>
  <si>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</si>
  <si>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</si>
  <si>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</si>
  <si>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</si>
  <si>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</si>
  <si>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</si>
  <si>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</si>
  <si>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</si>
  <si>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</si>
  <si>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</si>
  <si>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</si>
  <si>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</si>
  <si>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</si>
  <si>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</si>
  <si>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</si>
  <si>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</si>
  <si>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</si>
  <si>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</si>
  <si>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</si>
  <si>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</si>
  <si>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</si>
  <si>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</si>
  <si>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</si>
  <si>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</si>
  <si>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</si>
  <si>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</si>
  <si>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</si>
  <si>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</si>
  <si>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</si>
  <si>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</si>
  <si>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</si>
  <si>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</si>
  <si>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</si>
  <si>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</si>
  <si>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</si>
  <si>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</si>
  <si>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</si>
  <si>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</si>
  <si>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</si>
  <si>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</si>
  <si>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</si>
  <si>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</si>
  <si>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</si>
  <si>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</si>
  <si>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</si>
  <si>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</si>
  <si>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</si>
  <si>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</si>
  <si>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</si>
  <si>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</si>
  <si>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</si>
  <si>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</si>
  <si>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</si>
  <si>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</si>
  <si>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</si>
  <si>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</si>
  <si>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</si>
  <si>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</si>
  <si>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</si>
  <si>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</si>
  <si>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</si>
  <si>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</si>
  <si>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</si>
  <si>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</si>
  <si>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</si>
  <si>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</si>
  <si>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</si>
  <si>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</si>
  <si>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</si>
  <si>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</si>
  <si>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</si>
  <si>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</si>
  <si>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</si>
  <si>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</si>
  <si>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</si>
  <si>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</si>
  <si>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</si>
  <si>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</si>
  <si>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</si>
  <si>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</si>
  <si>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</si>
  <si>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</si>
  <si>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</si>
  <si>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</si>
  <si>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</si>
  <si>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</si>
  <si>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</si>
  <si>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</si>
  <si>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</si>
  <si>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</si>
  <si>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</si>
  <si>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</si>
  <si>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</si>
  <si>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</si>
  <si>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</si>
  <si>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</si>
  <si>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</si>
  <si>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</si>
  <si>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</si>
  <si>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</si>
  <si>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</si>
  <si>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</si>
  <si>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</si>
  <si>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</si>
  <si>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</si>
  <si>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</si>
  <si>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</si>
  <si>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</si>
  <si>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</si>
  <si>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</si>
  <si>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</si>
  <si>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</si>
  <si>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</si>
  <si>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</si>
  <si>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</si>
  <si>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</si>
  <si>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</si>
  <si>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</si>
  <si>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</si>
  <si>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</si>
  <si>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</si>
  <si>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</si>
  <si>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</si>
  <si>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</si>
  <si>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</si>
  <si>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</si>
  <si>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</si>
  <si>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</si>
  <si>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</si>
  <si>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</si>
  <si>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</si>
  <si>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</si>
  <si>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</si>
  <si>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</si>
  <si>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</si>
  <si>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</si>
  <si>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</si>
  <si>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</si>
  <si>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</si>
  <si>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</si>
  <si>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</si>
  <si>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</si>
  <si>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</si>
  <si>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</si>
  <si>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</si>
  <si>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</si>
  <si>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</si>
  <si>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</si>
  <si>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</si>
  <si>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</si>
  <si>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</si>
  <si>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</si>
  <si>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</si>
  <si>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</si>
  <si>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</si>
  <si>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</si>
  <si>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</si>
  <si>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</si>
  <si>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</si>
  <si>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</si>
  <si>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</si>
  <si>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</si>
  <si>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</si>
  <si>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</si>
  <si>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</si>
  <si>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</si>
  <si>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</si>
  <si>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</si>
  <si>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</si>
  <si>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</si>
  <si>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</si>
  <si>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</si>
  <si>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</si>
  <si>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</si>
  <si>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</si>
  <si>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</si>
  <si>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</si>
  <si>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</si>
  <si>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</si>
  <si>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</si>
  <si>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</si>
  <si>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</si>
  <si>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</si>
  <si>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</si>
  <si>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</si>
  <si>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</si>
  <si>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</si>
  <si>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</si>
  <si>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</si>
  <si>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</si>
  <si>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</si>
  <si>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</si>
  <si>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</si>
  <si>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</si>
  <si>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</si>
  <si>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</si>
  <si>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</si>
  <si>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</si>
  <si>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</si>
  <si>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</si>
  <si>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</si>
  <si>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</si>
  <si>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</si>
  <si>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</si>
  <si>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</si>
  <si>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</si>
  <si>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</si>
  <si>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</si>
  <si>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</si>
  <si>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</si>
  <si>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</si>
  <si>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</si>
  <si>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</si>
  <si>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</si>
  <si>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</si>
  <si>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</si>
  <si>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</si>
  <si>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</si>
  <si>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</si>
  <si>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</si>
  <si>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</si>
  <si>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</si>
  <si>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</si>
  <si>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</si>
  <si>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</si>
  <si>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</si>
  <si>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</si>
  <si>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</si>
  <si>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</si>
  <si>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</si>
  <si>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</si>
  <si>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</si>
  <si>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</si>
  <si>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</si>
  <si>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</si>
  <si>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</si>
  <si>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</si>
  <si>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</si>
  <si>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</si>
  <si>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</si>
  <si>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</si>
  <si>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</si>
  <si>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</si>
  <si>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</si>
  <si>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</si>
  <si>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</si>
  <si>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</si>
  <si>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</si>
  <si>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</si>
  <si>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</si>
  <si>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</si>
  <si>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</si>
  <si>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</si>
  <si>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</si>
  <si>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</si>
  <si>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</si>
  <si>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</si>
  <si>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</si>
  <si>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</si>
  <si>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</si>
  <si>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</si>
  <si>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</si>
  <si>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</si>
  <si>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</si>
  <si>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</si>
  <si>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</si>
  <si>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</si>
  <si>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</si>
  <si>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</si>
  <si>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</si>
  <si>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</si>
  <si>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</si>
  <si>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</si>
  <si>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</si>
  <si>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</si>
  <si>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</si>
  <si>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</si>
  <si>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</si>
  <si>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</si>
  <si>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</si>
  <si>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</si>
  <si>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</si>
  <si>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</si>
  <si>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</si>
  <si>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</si>
  <si>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</si>
  <si>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</si>
  <si>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</si>
  <si>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</si>
  <si>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</si>
  <si>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</si>
  <si>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</si>
  <si>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</si>
  <si>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</si>
  <si>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</si>
  <si>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</si>
  <si>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</si>
  <si>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</si>
  <si>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</si>
  <si>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</si>
  <si>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</si>
  <si>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</si>
  <si>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</si>
  <si>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</si>
  <si>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</si>
  <si>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</si>
  <si>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</si>
  <si>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</si>
  <si>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</si>
  <si>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</si>
  <si>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</si>
  <si>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</si>
  <si>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</si>
  <si>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</si>
  <si>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</si>
  <si>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</si>
  <si>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</si>
  <si>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</si>
  <si>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</si>
  <si>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</si>
  <si>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</si>
  <si>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</si>
  <si>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</si>
  <si>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</si>
  <si>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</si>
  <si>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</si>
  <si>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</si>
  <si>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</si>
  <si>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</si>
  <si>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</si>
  <si>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</si>
  <si>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</si>
  <si>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</si>
  <si>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</si>
  <si>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</si>
  <si>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</si>
  <si>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</si>
  <si>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</si>
  <si>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</si>
  <si>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</si>
  <si>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</si>
  <si>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</si>
  <si>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</si>
  <si>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</si>
  <si>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</si>
  <si>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</si>
  <si>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</si>
  <si>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</si>
  <si>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</si>
  <si>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</si>
  <si>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</si>
  <si>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</si>
  <si>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</si>
  <si>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</si>
  <si>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</si>
  <si>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</si>
  <si>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</si>
  <si>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</si>
  <si>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</si>
  <si>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</si>
  <si>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</si>
  <si>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</si>
  <si>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</si>
  <si>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</si>
  <si>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</si>
  <si>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</si>
  <si>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</si>
  <si>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</si>
  <si>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</si>
  <si>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</si>
  <si>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</si>
  <si>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</si>
  <si>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</si>
  <si>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</si>
  <si>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</si>
  <si>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</si>
  <si>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</si>
  <si>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</si>
  <si>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</si>
  <si>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</si>
  <si>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</si>
  <si>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</si>
  <si>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</si>
  <si>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</si>
  <si>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</si>
  <si>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</si>
  <si>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</si>
  <si>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</si>
  <si>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</si>
  <si>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</si>
  <si>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</si>
  <si>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</si>
  <si>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</si>
  <si>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</si>
  <si>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</si>
  <si>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</si>
  <si>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</si>
  <si>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</si>
  <si>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</si>
  <si>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</si>
  <si>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</si>
  <si>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</si>
  <si>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</si>
  <si>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</si>
  <si>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</si>
  <si>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</si>
  <si>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</si>
  <si>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</si>
  <si>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</si>
  <si>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</si>
  <si>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</si>
  <si>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</si>
  <si>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</si>
  <si>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</si>
  <si>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</si>
  <si>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</si>
  <si>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</si>
  <si>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</si>
  <si>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</si>
  <si>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</si>
  <si>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</si>
  <si>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</si>
  <si>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</si>
  <si>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</si>
  <si>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</si>
  <si>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</si>
  <si>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</si>
  <si>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</si>
  <si>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</si>
  <si>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</si>
  <si>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</si>
  <si>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</si>
  <si>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</si>
  <si>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</si>
  <si>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</si>
  <si>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</si>
  <si>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</si>
  <si>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</si>
  <si>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</si>
  <si>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</si>
  <si>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</si>
  <si>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</si>
  <si>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</si>
  <si>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</si>
  <si>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</si>
  <si>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</si>
  <si>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</si>
  <si>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</si>
  <si>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</si>
  <si>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</si>
  <si>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</si>
  <si>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</si>
  <si>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</si>
  <si>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</si>
  <si>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</si>
  <si>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</si>
  <si>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</si>
  <si>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</si>
  <si>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</si>
  <si>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</si>
  <si>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</si>
  <si>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</si>
  <si>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</si>
  <si>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</si>
  <si>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</si>
  <si>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</si>
  <si>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</si>
  <si>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</si>
  <si>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</si>
  <si>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</si>
  <si>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</si>
  <si>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</si>
  <si>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</si>
  <si>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</si>
  <si>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</si>
  <si>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</si>
  <si>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</si>
  <si>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</si>
  <si>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</si>
  <si>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</si>
  <si>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</si>
  <si>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</si>
  <si>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</si>
  <si>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</si>
  <si>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</si>
  <si>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</si>
  <si>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</si>
  <si>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</si>
  <si>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</si>
  <si>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</si>
  <si>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</si>
  <si>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</si>
  <si>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</si>
  <si>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</si>
  <si>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</si>
  <si>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</si>
  <si>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</si>
  <si>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</si>
  <si>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</si>
  <si>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</si>
  <si>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</si>
  <si>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</si>
  <si>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</si>
  <si>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</si>
  <si>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</si>
  <si>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</si>
  <si>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</si>
  <si>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</si>
  <si>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</si>
  <si>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</si>
  <si>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</si>
  <si>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</si>
  <si>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</si>
  <si>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</si>
  <si>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</si>
  <si>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</si>
  <si>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</si>
  <si>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</si>
  <si>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</si>
  <si>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</si>
  <si>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</si>
  <si>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</si>
  <si>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</si>
  <si>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</si>
  <si>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</si>
  <si>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</si>
  <si>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</si>
  <si>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</si>
  <si>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</si>
  <si>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</si>
  <si>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</si>
  <si>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</si>
  <si>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</si>
  <si>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</si>
  <si>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</si>
  <si>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</si>
  <si>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</si>
  <si>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</si>
  <si>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</si>
  <si>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</si>
  <si>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</si>
  <si>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</si>
  <si>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</si>
  <si>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</si>
  <si>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</si>
  <si>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</si>
  <si>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</si>
  <si>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</si>
  <si>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</si>
  <si>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</si>
  <si>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</si>
  <si>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</si>
  <si>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</si>
  <si>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</si>
  <si>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</si>
  <si>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</si>
  <si>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</si>
  <si>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</si>
  <si>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</si>
  <si>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</si>
  <si>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</si>
  <si>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</si>
  <si>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</si>
  <si>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</si>
  <si>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</si>
  <si>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</si>
  <si>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</si>
  <si>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</si>
  <si>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</si>
  <si>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</si>
  <si>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</si>
  <si>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</si>
  <si>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</si>
  <si>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</si>
  <si>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</si>
  <si>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</si>
  <si>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</si>
  <si>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</si>
  <si>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</si>
  <si>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</si>
  <si>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</si>
  <si>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</si>
  <si>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</si>
  <si>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</si>
  <si>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</si>
  <si>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</si>
  <si>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</si>
  <si>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</si>
  <si>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</si>
  <si>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</si>
  <si>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</si>
  <si>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</si>
  <si>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</si>
  <si>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</si>
  <si>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</si>
  <si>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</si>
  <si>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</si>
  <si>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</si>
  <si>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</si>
  <si>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</si>
  <si>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</si>
  <si>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</si>
  <si>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</si>
  <si>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</si>
  <si>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</si>
  <si>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</si>
  <si>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</si>
  <si>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</si>
  <si>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</si>
  <si>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</si>
  <si>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</si>
  <si>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</si>
  <si>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</si>
  <si>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</si>
  <si>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</si>
  <si>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</si>
  <si>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</si>
  <si>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</si>
  <si>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</si>
  <si>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</si>
  <si>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</si>
  <si>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</si>
  <si>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</si>
  <si>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</si>
  <si>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</si>
  <si>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</si>
  <si>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</si>
  <si>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</si>
  <si>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</si>
  <si>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</si>
  <si>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</si>
  <si>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</si>
  <si>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</si>
  <si>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</si>
  <si>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</si>
  <si>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</si>
  <si>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</si>
  <si>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</si>
  <si>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</si>
  <si>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</si>
  <si>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</si>
  <si>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</si>
  <si>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</si>
  <si>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</si>
  <si>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</si>
  <si>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</si>
  <si>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</si>
  <si>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</si>
  <si>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</si>
  <si>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</si>
  <si>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</si>
  <si>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</si>
  <si>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</si>
  <si>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</si>
  <si>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</si>
  <si>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</si>
  <si>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</si>
  <si>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</si>
  <si>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</si>
  <si>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</si>
  <si>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</si>
  <si>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</si>
  <si>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</si>
  <si>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</si>
  <si>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</si>
  <si>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</si>
  <si>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</si>
  <si>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</si>
  <si>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</si>
  <si>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</si>
  <si>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</si>
  <si>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</si>
  <si>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</si>
  <si>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</si>
  <si>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</si>
  <si>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</si>
  <si>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</si>
  <si>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</si>
  <si>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</si>
  <si>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</si>
  <si>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</si>
  <si>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</si>
  <si>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</si>
  <si>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</si>
  <si>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</si>
  <si>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</si>
  <si>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</si>
  <si>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</si>
  <si>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</si>
  <si>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</si>
  <si>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</si>
  <si>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</si>
  <si>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</si>
  <si>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</si>
  <si>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</si>
  <si>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</si>
  <si>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</si>
  <si>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</si>
  <si>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</si>
  <si>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</si>
  <si>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</si>
  <si>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</si>
  <si>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</si>
  <si>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</si>
  <si>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</si>
  <si>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</si>
  <si>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</si>
  <si>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</si>
  <si>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</si>
  <si>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</si>
  <si>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</si>
  <si>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</si>
  <si>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</si>
  <si>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</si>
  <si>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</si>
  <si>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</si>
  <si>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</si>
  <si>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</si>
  <si>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</si>
  <si>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</si>
  <si>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</si>
  <si>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</si>
  <si>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</si>
  <si>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</si>
  <si>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</si>
  <si>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</si>
  <si>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</si>
  <si>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</si>
  <si>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</si>
  <si>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</si>
  <si>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</si>
  <si>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</si>
  <si>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</si>
  <si>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</si>
  <si>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</si>
  <si>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</si>
  <si>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</si>
  <si>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</si>
  <si>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</si>
  <si>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</si>
  <si>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</si>
  <si>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</si>
  <si>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</si>
  <si>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</si>
  <si>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</si>
  <si>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</si>
  <si>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</si>
  <si>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</si>
  <si>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</si>
  <si>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</si>
  <si>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</si>
  <si>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</si>
  <si>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</si>
  <si>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</si>
  <si>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</si>
  <si>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</si>
  <si>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</si>
  <si>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</si>
  <si>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</si>
  <si>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</si>
  <si>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</si>
  <si>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</si>
  <si>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</si>
  <si>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</si>
  <si>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</si>
  <si>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</si>
  <si>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</si>
  <si>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</si>
  <si>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</si>
  <si>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</si>
  <si>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</si>
  <si>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</si>
  <si>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</si>
  <si>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</si>
  <si>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</si>
  <si>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</si>
  <si>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</si>
  <si>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</si>
  <si>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</si>
  <si>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</si>
  <si>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</si>
  <si>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</si>
  <si>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</si>
  <si>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</si>
  <si>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</si>
  <si>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</si>
  <si>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</si>
  <si>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</si>
  <si>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</si>
  <si>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</si>
  <si>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</si>
  <si>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</si>
  <si>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</si>
  <si>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</si>
  <si>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</si>
  <si>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</si>
  <si>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</si>
  <si>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</si>
  <si>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</si>
  <si>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</si>
  <si>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</si>
  <si>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</si>
  <si>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</si>
  <si>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</si>
  <si>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</si>
  <si>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</si>
  <si>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</si>
  <si>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</si>
  <si>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</si>
  <si>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</si>
  <si>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</si>
  <si>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</si>
  <si>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</si>
  <si>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</si>
  <si>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</si>
  <si>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</si>
  <si>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</si>
  <si>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</si>
  <si>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</si>
  <si>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</si>
  <si>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</si>
  <si>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</si>
  <si>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</si>
  <si>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</si>
  <si>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</si>
  <si>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</si>
  <si>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</si>
  <si>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</si>
  <si>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</si>
  <si>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</si>
  <si>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</si>
  <si>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</si>
  <si>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</si>
  <si>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</si>
  <si>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</si>
  <si>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</si>
  <si>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</si>
  <si>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</si>
  <si>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</si>
  <si>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</si>
  <si>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</si>
  <si>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</si>
  <si>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</si>
  <si>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</si>
  <si>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</si>
  <si>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</si>
  <si>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</si>
  <si>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</si>
  <si>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</si>
  <si>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</si>
  <si>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</si>
  <si>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</si>
  <si>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</si>
  <si>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</si>
  <si>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</si>
  <si>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</si>
  <si>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</si>
  <si>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</si>
  <si>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</si>
  <si>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</si>
  <si>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</si>
  <si>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</si>
  <si>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</si>
  <si>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</si>
  <si>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</si>
  <si>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</si>
  <si>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</si>
  <si>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</si>
  <si>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</si>
  <si>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</si>
  <si>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</si>
  <si>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</si>
  <si>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</si>
  <si>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</si>
  <si>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</si>
  <si>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</si>
  <si>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</si>
  <si>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</si>
  <si>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</si>
  <si>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</si>
  <si>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</si>
  <si>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</si>
  <si>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</si>
  <si>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</si>
  <si>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</si>
  <si>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</si>
  <si>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</si>
  <si>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</si>
  <si>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</si>
  <si>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</si>
  <si>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</si>
  <si>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</si>
  <si>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</si>
  <si>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</si>
  <si>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</si>
  <si>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</si>
  <si>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</si>
  <si>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</si>
  <si>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</si>
  <si>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</si>
  <si>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</si>
  <si>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</si>
  <si>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</si>
  <si>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</si>
  <si>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</si>
  <si>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</si>
  <si>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</si>
  <si>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</si>
  <si>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</si>
  <si>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</si>
  <si>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</si>
  <si>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</si>
  <si>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</si>
  <si>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</si>
  <si>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</si>
  <si>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</si>
  <si>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</si>
  <si>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</si>
  <si>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</si>
  <si>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</si>
  <si>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</si>
  <si>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</si>
  <si>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</si>
  <si>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</si>
  <si>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</si>
  <si>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</si>
  <si>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</si>
  <si>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</si>
  <si>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</si>
  <si>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</si>
  <si>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</si>
  <si>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</si>
  <si>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</si>
  <si>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</si>
  <si>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</si>
  <si>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</si>
  <si>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</si>
  <si>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</si>
  <si>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</si>
  <si>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</si>
  <si>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</si>
  <si>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</si>
  <si>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</si>
  <si>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</si>
  <si>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</si>
  <si>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</si>
  <si>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</si>
  <si>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</si>
  <si>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</si>
  <si>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</si>
  <si>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</si>
  <si>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</si>
  <si>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</si>
  <si>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</si>
  <si>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</si>
  <si>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</si>
  <si>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</si>
  <si>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</si>
  <si>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</si>
  <si>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</si>
  <si>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</si>
  <si>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</si>
  <si>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</si>
  <si>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</si>
  <si>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</si>
  <si>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</si>
  <si>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</si>
  <si>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</si>
  <si>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</si>
  <si>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</si>
  <si>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</si>
  <si>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</si>
  <si>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</si>
  <si>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</si>
  <si>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</si>
  <si>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</si>
  <si>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</si>
  <si>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</si>
  <si>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</si>
  <si>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</si>
  <si>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</si>
  <si>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</si>
  <si>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</si>
  <si>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</si>
  <si>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</si>
  <si>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</si>
  <si>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</si>
  <si>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</si>
  <si>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</si>
  <si>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</si>
  <si>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</si>
  <si>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</si>
  <si>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</si>
  <si>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</si>
  <si>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</si>
  <si>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</si>
  <si>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</si>
  <si>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</si>
  <si>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</si>
  <si>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</si>
  <si>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</si>
  <si>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</si>
  <si>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</si>
  <si>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</si>
  <si>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</si>
  <si>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</si>
  <si>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</si>
  <si>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</si>
  <si>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</si>
  <si>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</si>
  <si>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</si>
  <si>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</si>
  <si>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</si>
  <si>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</si>
  <si>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</si>
  <si>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</si>
  <si>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</si>
  <si>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</si>
  <si>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</si>
  <si>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</si>
  <si>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</si>
  <si>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</si>
  <si>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</si>
  <si>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</si>
  <si>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</si>
  <si>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</si>
  <si>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</si>
  <si>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</si>
  <si>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</si>
  <si>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</si>
  <si>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</si>
  <si>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</si>
  <si>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</si>
  <si>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</si>
  <si>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</si>
  <si>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</si>
  <si>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</si>
  <si>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</si>
  <si>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</si>
  <si>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</si>
  <si>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</si>
  <si>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</si>
  <si>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</si>
  <si>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</si>
  <si>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</si>
  <si>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</si>
  <si>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</si>
  <si>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</si>
  <si>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</si>
  <si>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</si>
  <si>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</si>
  <si>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</si>
  <si>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</si>
  <si>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</si>
  <si>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</si>
  <si>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</si>
  <si>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</si>
  <si>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</si>
  <si>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</si>
  <si>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</si>
  <si>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</si>
  <si>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</si>
  <si>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</si>
  <si>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</si>
  <si>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</si>
  <si>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</si>
  <si>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</si>
  <si>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</si>
  <si>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</si>
  <si>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</si>
  <si>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</si>
  <si>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</si>
  <si>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</si>
  <si>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</si>
  <si>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</si>
  <si>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</si>
  <si>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</si>
  <si>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</si>
  <si>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</si>
  <si>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</si>
  <si>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</si>
  <si>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</si>
  <si>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</si>
  <si>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</si>
  <si>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</si>
  <si>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</si>
  <si>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</si>
  <si>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</si>
  <si>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</si>
  <si>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</si>
  <si>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</si>
  <si>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</si>
  <si>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</si>
  <si>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</si>
  <si>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</si>
  <si>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</si>
  <si>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</si>
  <si>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</si>
  <si>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</si>
  <si>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</si>
  <si>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</si>
  <si>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</si>
  <si>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</si>
  <si>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</si>
  <si>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</si>
  <si>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</si>
  <si>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</si>
  <si>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</si>
  <si>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</si>
  <si>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</si>
  <si>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</si>
  <si>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</si>
  <si>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</si>
  <si>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</si>
  <si>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</si>
  <si>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</si>
  <si>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</si>
  <si>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</si>
  <si>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</si>
  <si>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</si>
  <si>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</si>
  <si>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</si>
  <si>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</si>
  <si>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</si>
  <si>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</si>
  <si>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</si>
  <si>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</si>
  <si>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</si>
  <si>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</si>
  <si>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</si>
  <si>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</si>
  <si>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</si>
  <si>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</si>
  <si>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</si>
  <si>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</si>
  <si>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</si>
  <si>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</si>
  <si>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</si>
  <si>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</si>
  <si>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</si>
  <si>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</si>
  <si>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</si>
  <si>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</si>
  <si>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</si>
  <si>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</si>
  <si>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</si>
  <si>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</si>
  <si>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</si>
  <si>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</si>
  <si>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</si>
  <si>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</si>
  <si>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</si>
  <si>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</si>
  <si>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</si>
  <si>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</si>
  <si>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</si>
  <si>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</si>
  <si>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</si>
  <si>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</si>
  <si>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</si>
  <si>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</si>
  <si>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</si>
  <si>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</si>
  <si>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</si>
  <si>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</si>
  <si>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</si>
  <si>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</si>
  <si>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</si>
  <si>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</si>
  <si>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</si>
  <si>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</si>
  <si>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</si>
  <si>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</si>
  <si>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</si>
  <si>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</si>
  <si>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</si>
  <si>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</si>
  <si>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</si>
  <si>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</si>
  <si>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</si>
  <si>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</si>
  <si>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</si>
  <si>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</si>
  <si>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</si>
  <si>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</si>
  <si>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</si>
  <si>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</si>
  <si>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</si>
  <si>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</si>
  <si>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</si>
  <si>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</si>
  <si>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</si>
  <si>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</si>
  <si>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</si>
  <si>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</si>
  <si>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</si>
  <si>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</si>
  <si>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</si>
  <si>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</si>
  <si>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</si>
  <si>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</si>
  <si>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</si>
  <si>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</si>
  <si>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</si>
  <si>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</si>
  <si>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</si>
  <si>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</si>
  <si>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</si>
  <si>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</si>
  <si>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</si>
  <si>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</si>
  <si>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</si>
  <si>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</si>
  <si>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</si>
  <si>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</si>
  <si>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</si>
  <si>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</si>
  <si>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</si>
  <si>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</si>
  <si>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</si>
  <si>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</si>
  <si>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</si>
  <si>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</si>
  <si>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</si>
  <si>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</si>
  <si>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</si>
  <si>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</si>
  <si>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</si>
  <si>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</si>
  <si>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</si>
  <si>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</si>
  <si>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</si>
  <si>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</si>
  <si>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</si>
  <si>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</si>
  <si>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</si>
  <si>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</si>
  <si>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</si>
  <si>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</si>
  <si>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</si>
  <si>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</si>
  <si>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</si>
  <si>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</si>
  <si>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</si>
  <si>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</si>
  <si>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</si>
  <si>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</si>
  <si>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</si>
  <si>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</si>
  <si>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</si>
  <si>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</si>
  <si>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</si>
  <si>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</si>
  <si>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</si>
  <si>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</si>
  <si>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</si>
  <si>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</si>
  <si>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</si>
  <si>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</si>
  <si>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</si>
  <si>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</si>
  <si>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</si>
  <si>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</si>
  <si>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</si>
  <si>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</si>
  <si>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</si>
  <si>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</si>
  <si>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</si>
  <si>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</si>
  <si>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</si>
  <si>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</si>
  <si>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</si>
  <si>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</si>
  <si>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</si>
  <si>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</si>
  <si>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</si>
  <si>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</si>
  <si>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</si>
  <si>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</si>
  <si>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</si>
  <si>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</si>
  <si>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</si>
  <si>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</si>
  <si>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</si>
  <si>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</si>
  <si>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</si>
  <si>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</si>
  <si>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</si>
  <si>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</si>
  <si>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</si>
  <si>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</si>
  <si>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</si>
  <si>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</si>
  <si>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</si>
  <si>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</si>
  <si>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</si>
  <si>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</si>
  <si>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</si>
  <si>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</si>
  <si>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</si>
  <si>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</si>
  <si>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</si>
  <si>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</si>
  <si>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</si>
  <si>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</si>
  <si>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</si>
  <si>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</si>
  <si>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</si>
  <si>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</si>
  <si>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</si>
  <si>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</si>
  <si>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</si>
  <si>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</si>
  <si>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</si>
  <si>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</si>
  <si>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</si>
  <si>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</si>
  <si>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</si>
  <si>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</si>
  <si>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</si>
  <si>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</si>
  <si>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</si>
  <si>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</si>
  <si>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</si>
  <si>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</si>
  <si>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</si>
  <si>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</si>
  <si>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</si>
  <si>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</si>
  <si>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</si>
  <si>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</si>
  <si>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</si>
  <si>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</si>
  <si>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</si>
  <si>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</si>
  <si>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</si>
  <si>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</si>
  <si>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</si>
  <si>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</si>
  <si>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</si>
  <si>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</si>
  <si>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</si>
  <si>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</si>
  <si>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</si>
  <si>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</si>
  <si>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</si>
  <si>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</si>
  <si>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</si>
  <si>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</si>
  <si>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</si>
  <si>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</si>
  <si>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</si>
  <si>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</si>
  <si>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</si>
  <si>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</si>
  <si>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</si>
  <si>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</si>
  <si>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</si>
  <si>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</si>
  <si>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</si>
  <si>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</si>
  <si>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</si>
  <si>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</si>
  <si>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</si>
  <si>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</si>
  <si>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</si>
  <si>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</si>
  <si>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</si>
  <si>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</si>
  <si>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</si>
  <si>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</si>
  <si>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</si>
  <si>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</si>
  <si>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</si>
  <si>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</si>
  <si>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</si>
  <si>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</si>
  <si>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</si>
  <si>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</si>
  <si>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</si>
  <si>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</si>
  <si>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</si>
  <si>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</si>
  <si>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</si>
  <si>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</si>
  <si>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</si>
  <si>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</si>
  <si>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</si>
  <si>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</si>
  <si>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</si>
  <si>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</si>
  <si>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</si>
  <si>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</si>
  <si>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</si>
  <si>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</si>
  <si>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</si>
  <si>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</si>
  <si>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</si>
  <si>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</si>
  <si>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</si>
  <si>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</si>
  <si>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</si>
  <si>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</si>
  <si>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</si>
  <si>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</si>
  <si>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</si>
  <si>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</si>
  <si>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</si>
  <si>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</si>
  <si>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</si>
  <si>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</si>
  <si>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</si>
  <si>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</si>
  <si>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</si>
  <si>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</si>
  <si>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</si>
  <si>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</si>
  <si>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</si>
  <si>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</si>
  <si>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</si>
  <si>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</si>
  <si>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</si>
  <si>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</si>
  <si>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</si>
  <si>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</si>
  <si>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</si>
  <si>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</si>
  <si>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</si>
  <si>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</si>
  <si>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</si>
  <si>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</si>
  <si>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</si>
  <si>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</si>
  <si>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</si>
  <si>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</si>
  <si>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</si>
  <si>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</si>
  <si>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</si>
  <si>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</si>
  <si>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</si>
  <si>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</si>
  <si>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</si>
  <si>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</si>
  <si>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</si>
  <si>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</si>
  <si>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</si>
  <si>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</si>
  <si>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</si>
  <si>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</si>
  <si>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</si>
  <si>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</si>
  <si>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</si>
  <si>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</si>
  <si>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</si>
  <si>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</si>
  <si>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</si>
  <si>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</si>
  <si>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</si>
  <si>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</si>
  <si>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</si>
  <si>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</si>
  <si>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</si>
  <si>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</si>
  <si>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</si>
  <si>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</si>
  <si>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</si>
  <si>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</si>
  <si>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</si>
  <si>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</si>
  <si>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</si>
  <si>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</si>
  <si>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</si>
  <si>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</si>
  <si>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</si>
  <si>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</si>
  <si>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</si>
  <si>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</si>
  <si>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</si>
  <si>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</si>
  <si>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</si>
  <si>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</si>
  <si>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</si>
  <si>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</si>
  <si>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</si>
  <si>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</si>
  <si>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</si>
  <si>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</si>
  <si>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</si>
  <si>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</si>
  <si>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</si>
  <si>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</si>
  <si>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</si>
  <si>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</si>
  <si>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</si>
  <si>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</si>
  <si>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</si>
  <si>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</si>
  <si>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</si>
  <si>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</si>
  <si>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</si>
  <si>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</si>
  <si>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</si>
  <si>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</si>
  <si>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</si>
  <si>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</si>
  <si>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</si>
  <si>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</si>
  <si>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</si>
  <si>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</si>
  <si>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</si>
  <si>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</si>
  <si>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</si>
  <si>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</si>
  <si>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</si>
  <si>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</si>
  <si>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</si>
  <si>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</si>
  <si>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</si>
  <si>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</si>
  <si>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</si>
  <si>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</si>
  <si>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</si>
  <si>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</si>
  <si>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</si>
  <si>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</si>
  <si>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</si>
  <si>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</si>
  <si>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</si>
  <si>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</si>
  <si>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</si>
  <si>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</si>
  <si>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</si>
  <si>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</si>
  <si>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</si>
  <si>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</si>
  <si>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</si>
  <si>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</si>
  <si>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</si>
  <si>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</si>
  <si>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</si>
  <si>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</si>
  <si>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</si>
  <si>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</si>
  <si>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</si>
  <si>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</si>
  <si>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</si>
  <si>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</si>
  <si>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</si>
  <si>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</si>
  <si>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</si>
  <si>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</si>
  <si>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</si>
  <si>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</si>
  <si>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</si>
  <si>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</si>
  <si>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</si>
  <si>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</si>
  <si>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</si>
  <si>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</si>
  <si>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</si>
  <si>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</si>
  <si>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</si>
  <si>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</si>
  <si>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</si>
  <si>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</si>
  <si>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</si>
  <si>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</si>
  <si>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</si>
  <si>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</si>
  <si>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</si>
  <si>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</si>
  <si>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</si>
  <si>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</si>
  <si>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</si>
  <si>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</si>
  <si>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</si>
  <si>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</si>
  <si>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</si>
  <si>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</si>
  <si>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</si>
  <si>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</si>
  <si>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</si>
  <si>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</si>
  <si>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</si>
  <si>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</si>
  <si>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</si>
  <si>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</si>
  <si>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</si>
  <si>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</si>
  <si>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</si>
  <si>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</si>
  <si>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</si>
  <si>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</si>
  <si>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</si>
  <si>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</si>
  <si>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</si>
  <si>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</si>
  <si>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</si>
  <si>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</si>
  <si>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</si>
  <si>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</si>
  <si>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</si>
  <si>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</si>
  <si>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</si>
  <si>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</si>
  <si>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</si>
  <si>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</si>
  <si>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</si>
  <si>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</si>
  <si>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</si>
  <si>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</si>
  <si>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</si>
  <si>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</si>
  <si>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</si>
  <si>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</si>
  <si>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</si>
  <si>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</si>
  <si>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</si>
  <si>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</si>
  <si>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</si>
  <si>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</si>
  <si>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</si>
  <si>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</si>
  <si>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</si>
  <si>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</si>
  <si>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</si>
  <si>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</si>
  <si>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</si>
  <si>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</si>
  <si>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</si>
  <si>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</si>
  <si>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</si>
  <si>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</si>
  <si>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</si>
  <si>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</si>
  <si>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</si>
  <si>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</si>
  <si>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</si>
  <si>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</si>
  <si>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</si>
  <si>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</si>
  <si>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</si>
  <si>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</si>
  <si>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</si>
  <si>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</si>
  <si>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</si>
  <si>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</si>
  <si>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</si>
  <si>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</si>
  <si>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</si>
  <si>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</si>
  <si>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</si>
  <si>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</si>
  <si>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</si>
  <si>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</si>
  <si>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</si>
  <si>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</si>
  <si>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</si>
  <si>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</si>
  <si>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</si>
  <si>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</si>
  <si>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</si>
  <si>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</si>
  <si>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</si>
  <si>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</si>
  <si>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</si>
  <si>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</si>
  <si>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</si>
  <si>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</si>
  <si>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</si>
  <si>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</si>
  <si>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</si>
  <si>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</si>
  <si>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</si>
  <si>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</si>
  <si>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</si>
  <si>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</si>
  <si>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</si>
  <si>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</si>
  <si>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</si>
  <si>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</si>
  <si>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</si>
  <si>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</si>
  <si>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</si>
  <si>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</si>
  <si>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</si>
  <si>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</si>
  <si>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</si>
  <si>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</si>
  <si>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</si>
  <si>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</si>
  <si>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</si>
  <si>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</si>
  <si>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</si>
  <si>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</si>
  <si>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</si>
  <si>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</si>
  <si>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</si>
  <si>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</si>
  <si>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</si>
  <si>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</si>
  <si>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</si>
  <si>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</si>
  <si>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</si>
  <si>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</si>
  <si>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</si>
  <si>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</si>
  <si>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</si>
  <si>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</si>
  <si>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</si>
  <si>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</si>
  <si>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</si>
  <si>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</si>
  <si>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</si>
  <si>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</si>
  <si>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</si>
  <si>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</si>
  <si>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</si>
  <si>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</si>
  <si>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</si>
  <si>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</si>
  <si>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</si>
  <si>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</si>
  <si>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</si>
  <si>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</si>
  <si>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</si>
  <si>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</si>
  <si>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</si>
  <si>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</si>
  <si>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</si>
  <si>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</si>
  <si>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</si>
  <si>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</si>
  <si>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</si>
  <si>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</si>
  <si>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</si>
  <si>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</si>
  <si>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</si>
  <si>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</si>
  <si>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</si>
  <si>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</si>
  <si>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</si>
  <si>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</si>
  <si>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</si>
  <si>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</si>
  <si>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</si>
  <si>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</si>
  <si>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</si>
  <si>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</si>
  <si>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</si>
  <si>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</si>
  <si>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</si>
  <si>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</si>
  <si>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</si>
  <si>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</si>
  <si>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</si>
  <si>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</si>
  <si>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</si>
  <si>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</si>
  <si>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</si>
  <si>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</si>
  <si>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</si>
  <si>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</si>
  <si>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</si>
  <si>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</si>
  <si>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</si>
  <si>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</si>
  <si>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</si>
  <si>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</si>
  <si>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</si>
  <si>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</si>
  <si>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</si>
  <si>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</si>
  <si>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</si>
  <si>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</si>
  <si>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</si>
  <si>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</si>
  <si>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</si>
  <si>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</si>
  <si>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</si>
  <si>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</si>
  <si>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</si>
  <si>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</si>
  <si>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</si>
  <si>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</si>
  <si>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</si>
  <si>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</si>
  <si>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</si>
  <si>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</si>
  <si>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</si>
  <si>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</si>
  <si>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</si>
  <si>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</si>
  <si>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</si>
  <si>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</si>
  <si>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</si>
  <si>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</si>
  <si>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</si>
  <si>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</si>
  <si>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</si>
  <si>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</si>
  <si>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</si>
  <si>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</si>
  <si>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</si>
  <si>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</si>
  <si>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</si>
  <si>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</si>
  <si>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</si>
  <si>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</si>
  <si>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</si>
  <si>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</si>
  <si>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</si>
  <si>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</si>
  <si>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</si>
  <si>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</si>
  <si>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</si>
  <si>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</si>
  <si>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</si>
  <si>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</si>
  <si>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</si>
  <si>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</si>
  <si>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</si>
  <si>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</si>
  <si>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</si>
  <si>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</si>
  <si>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</si>
  <si>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</si>
  <si>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</si>
  <si>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</si>
  <si>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</si>
  <si>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</si>
  <si>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</si>
  <si>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</si>
  <si>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</si>
  <si>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</si>
  <si>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</si>
  <si>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</si>
  <si>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</si>
  <si>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</si>
  <si>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</si>
  <si>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</si>
  <si>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</si>
  <si>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</si>
  <si>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</si>
  <si>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</si>
  <si>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</si>
  <si>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</si>
  <si>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</si>
  <si>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</si>
  <si>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</si>
  <si>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</si>
  <si>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</si>
  <si>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</si>
  <si>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</si>
  <si>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</si>
  <si>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</si>
  <si>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</si>
  <si>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</si>
  <si>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</si>
  <si>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</si>
  <si>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</si>
  <si>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</si>
  <si>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</si>
  <si>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</si>
  <si>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</si>
  <si>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</si>
  <si>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</si>
  <si>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</si>
  <si>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</si>
  <si>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</si>
  <si>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</si>
  <si>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</si>
  <si>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</si>
  <si>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</si>
  <si>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</si>
  <si>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</si>
  <si>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</si>
  <si>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</si>
  <si>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</si>
  <si>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</si>
  <si>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</si>
  <si>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</si>
  <si>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</si>
  <si>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</si>
  <si>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</si>
  <si>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</si>
  <si>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</si>
  <si>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</si>
  <si>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</si>
  <si>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</si>
  <si>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</si>
  <si>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</si>
  <si>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</si>
  <si>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</si>
  <si>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</si>
  <si>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</si>
  <si>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</si>
  <si>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</si>
  <si>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</si>
  <si>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</si>
  <si>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</si>
  <si>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</si>
  <si>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</si>
  <si>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</si>
  <si>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</si>
  <si>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</si>
  <si>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</si>
  <si>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</si>
  <si>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</si>
  <si>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</si>
  <si>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</si>
  <si>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</si>
  <si>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</si>
  <si>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</si>
  <si>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</si>
  <si>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</si>
  <si>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</si>
  <si>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</si>
  <si>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</si>
  <si>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</si>
  <si>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</si>
  <si>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</si>
  <si>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</si>
  <si>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</si>
  <si>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</si>
  <si>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</si>
  <si>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</si>
  <si>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</si>
  <si>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</si>
  <si>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</si>
  <si>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</si>
  <si>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</si>
  <si>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</si>
  <si>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</si>
  <si>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</si>
  <si>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</si>
  <si>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</si>
  <si>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</si>
  <si>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</si>
  <si>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</si>
  <si>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</si>
  <si>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</si>
  <si>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</si>
  <si>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</si>
  <si>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</si>
  <si>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</si>
  <si>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</si>
  <si>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</si>
  <si>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</si>
  <si>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</si>
  <si>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</si>
  <si>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</si>
  <si>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</si>
  <si>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</si>
  <si>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</si>
  <si>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</si>
  <si>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</si>
  <si>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</si>
  <si>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</si>
  <si>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</si>
  <si>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</si>
  <si>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</si>
  <si>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</si>
  <si>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</si>
  <si>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</si>
  <si>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</si>
  <si>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</si>
  <si>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</si>
  <si>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</si>
  <si>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</si>
  <si>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</si>
  <si>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</si>
  <si>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</si>
  <si>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</si>
  <si>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</si>
  <si>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</si>
  <si>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</si>
  <si>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</si>
  <si>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</si>
  <si>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</si>
  <si>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</si>
  <si>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</si>
  <si>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</si>
  <si>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</si>
  <si>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</si>
  <si>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</si>
  <si>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</si>
  <si>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</si>
  <si>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</si>
  <si>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</si>
  <si>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</si>
  <si>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</si>
  <si>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</si>
  <si>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</si>
  <si>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</si>
  <si>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</si>
  <si>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</si>
  <si>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</si>
  <si>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</si>
  <si>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</si>
  <si>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</si>
  <si>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</si>
  <si>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</si>
  <si>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</si>
  <si>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</si>
  <si>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</si>
  <si>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</si>
  <si>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</si>
  <si>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</si>
  <si>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</si>
  <si>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</si>
  <si>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</si>
  <si>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</si>
  <si>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</si>
  <si>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</si>
  <si>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</si>
  <si>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</si>
  <si>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</si>
  <si>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</si>
  <si>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</si>
  <si>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</si>
  <si>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</si>
  <si>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</si>
  <si>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</si>
  <si>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</si>
  <si>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</si>
  <si>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</si>
  <si>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</si>
  <si>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</si>
  <si>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</si>
  <si>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</si>
  <si>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</si>
  <si>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</si>
  <si>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</si>
  <si>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</si>
  <si>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</si>
  <si>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</si>
  <si>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</si>
  <si>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</si>
  <si>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</si>
  <si>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</si>
  <si>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</si>
  <si>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</si>
  <si>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</si>
  <si>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</si>
  <si>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</si>
  <si>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</si>
  <si>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</si>
  <si>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</si>
  <si>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</si>
  <si>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</si>
  <si>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</si>
  <si>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</si>
  <si>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</si>
  <si>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</si>
  <si>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</si>
  <si>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</si>
  <si>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</si>
  <si>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</si>
  <si>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</si>
  <si>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</si>
  <si>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</si>
  <si>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</si>
  <si>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</si>
  <si>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</si>
  <si>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</si>
  <si>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</si>
  <si>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</si>
  <si>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</si>
  <si>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</si>
  <si>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</si>
  <si>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</si>
  <si>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</si>
  <si>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</si>
  <si>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</si>
  <si>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</si>
  <si>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</si>
  <si>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</si>
  <si>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</si>
  <si>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</si>
  <si>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</si>
  <si>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</si>
  <si>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</si>
  <si>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</si>
  <si>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</si>
  <si>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</si>
  <si>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</si>
  <si>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</si>
  <si>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</si>
  <si>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</si>
  <si>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</si>
  <si>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</si>
  <si>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</si>
  <si>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</si>
  <si>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</si>
  <si>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</si>
  <si>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</si>
  <si>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</si>
  <si>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</si>
  <si>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</si>
  <si>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</si>
  <si>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</si>
  <si>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</si>
  <si>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</si>
  <si>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</si>
  <si>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</si>
  <si>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</si>
  <si>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</si>
  <si>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</si>
  <si>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</si>
  <si>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</si>
  <si>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</si>
  <si>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</si>
  <si>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</si>
  <si>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</si>
  <si>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</si>
  <si>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</si>
  <si>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</si>
  <si>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</si>
  <si>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</si>
  <si>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</si>
  <si>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</si>
  <si>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</si>
  <si>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</si>
  <si>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</si>
  <si>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</si>
  <si>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</si>
  <si>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</si>
  <si>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</si>
  <si>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</si>
  <si>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</si>
  <si>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</si>
  <si>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</si>
  <si>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</si>
  <si>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</si>
  <si>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</si>
  <si>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</si>
  <si>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</si>
  <si>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</si>
  <si>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</si>
  <si>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</si>
  <si>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</si>
  <si>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</si>
  <si>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</si>
  <si>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</si>
  <si>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</si>
  <si>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</si>
  <si>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</si>
  <si>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</si>
  <si>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</si>
  <si>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</si>
  <si>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</si>
  <si>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</si>
  <si>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</si>
  <si>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</si>
  <si>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</si>
  <si>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</si>
  <si>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</si>
  <si>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</si>
  <si>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</si>
  <si>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</si>
  <si>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</si>
  <si>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</si>
  <si>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</si>
  <si>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</si>
  <si>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</si>
  <si>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</si>
  <si>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</si>
  <si>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</si>
  <si>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</si>
  <si>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</si>
  <si>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</si>
  <si>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</si>
  <si>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</si>
  <si>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</si>
  <si>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</si>
  <si>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</si>
  <si>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</si>
  <si>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</si>
  <si>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</si>
  <si>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</si>
  <si>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</si>
  <si>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</si>
  <si>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</si>
  <si>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</si>
  <si>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</si>
  <si>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</si>
  <si>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</si>
  <si>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</si>
  <si>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</si>
  <si>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</si>
  <si>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</si>
  <si>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</si>
  <si>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</si>
  <si>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</si>
  <si>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</si>
  <si>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</si>
  <si>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</si>
  <si>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</si>
  <si>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</si>
  <si>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</si>
  <si>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</si>
  <si>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</si>
  <si>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</si>
  <si>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</si>
  <si>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</si>
  <si>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</si>
  <si>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</si>
  <si>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</si>
  <si>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</si>
  <si>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</si>
  <si>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</si>
  <si>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</si>
  <si>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</si>
  <si>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</si>
  <si>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</si>
  <si>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</si>
  <si>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</si>
  <si>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</si>
  <si>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</si>
  <si>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</si>
  <si>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</si>
  <si>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</si>
  <si>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</si>
  <si>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</si>
  <si>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</si>
  <si>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</si>
  <si>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</si>
  <si>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</si>
  <si>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</si>
  <si>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</si>
  <si>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</si>
  <si>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</si>
  <si>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</si>
  <si>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</si>
  <si>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</si>
  <si>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</si>
  <si>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</si>
  <si>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</si>
  <si>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</si>
  <si>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</si>
  <si>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</si>
  <si>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</si>
  <si>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</si>
  <si>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</si>
  <si>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</si>
  <si>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</si>
  <si>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</si>
  <si>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</si>
  <si>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</si>
  <si>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</si>
  <si>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</si>
  <si>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</si>
  <si>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</si>
  <si>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</si>
  <si>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</si>
  <si>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</si>
  <si>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</si>
  <si>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</si>
  <si>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</si>
  <si>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</si>
  <si>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</si>
  <si>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</si>
  <si>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</si>
  <si>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</si>
  <si>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</si>
  <si>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</si>
  <si>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</si>
  <si>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</si>
  <si>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</si>
  <si>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</si>
  <si>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</si>
  <si>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</si>
  <si>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</si>
  <si>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</si>
  <si>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</si>
  <si>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</si>
  <si>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</si>
  <si>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</si>
  <si>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</si>
  <si>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</si>
  <si>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</si>
  <si>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</si>
  <si>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</si>
  <si>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</si>
  <si>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</si>
  <si>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</si>
  <si>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</si>
  <si>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</si>
  <si>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</si>
  <si>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</si>
  <si>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</si>
  <si>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</si>
  <si>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</si>
  <si>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</si>
  <si>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</si>
  <si>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</si>
  <si>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</si>
  <si>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</si>
  <si>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</si>
  <si>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</si>
  <si>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</si>
  <si>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</si>
  <si>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</si>
  <si>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</si>
  <si>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</si>
  <si>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</si>
  <si>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</si>
  <si>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</si>
  <si>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</si>
  <si>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</si>
  <si>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</si>
  <si>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</si>
  <si>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</si>
  <si>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</si>
  <si>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</si>
  <si>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</si>
  <si>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</si>
  <si>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</si>
  <si>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</si>
  <si>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</si>
  <si>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</si>
  <si>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</si>
  <si>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</si>
  <si>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</si>
  <si>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</si>
  <si>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</si>
  <si>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</si>
  <si>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</si>
  <si>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</si>
  <si>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</si>
  <si>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</si>
  <si>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</si>
  <si>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</si>
  <si>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</si>
  <si>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</si>
  <si>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</si>
  <si>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</si>
  <si>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</si>
  <si>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</si>
  <si>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</si>
  <si>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</si>
  <si>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</si>
  <si>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</si>
  <si>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</si>
  <si>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</si>
  <si>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</si>
  <si>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</si>
  <si>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</si>
  <si>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</si>
  <si>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</si>
  <si>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</si>
  <si>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</si>
  <si>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</si>
  <si>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</si>
  <si>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</si>
  <si>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</si>
  <si>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</si>
  <si>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</si>
  <si>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</si>
  <si>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</si>
  <si>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</si>
  <si>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</si>
  <si>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</si>
  <si>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</si>
  <si>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</si>
  <si>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</si>
  <si>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</si>
  <si>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</si>
  <si>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</si>
  <si>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</si>
  <si>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</si>
  <si>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</si>
  <si>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</si>
  <si>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</si>
  <si>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</si>
  <si>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</si>
  <si>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</si>
  <si>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</si>
  <si>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</si>
  <si>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</si>
  <si>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</si>
  <si>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</si>
  <si>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</si>
  <si>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</si>
  <si>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</si>
  <si>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</si>
  <si>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</si>
  <si>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</si>
  <si>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</si>
  <si>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</si>
  <si>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</si>
  <si>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</si>
  <si>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</si>
  <si>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</si>
  <si>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</si>
  <si>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</si>
  <si>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</si>
  <si>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</si>
  <si>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</si>
  <si>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</si>
  <si>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</si>
  <si>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</si>
  <si>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</si>
  <si>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</si>
  <si>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</si>
  <si>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</si>
  <si>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</si>
  <si>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</si>
  <si>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</si>
  <si>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</si>
  <si>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</si>
  <si>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</si>
  <si>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</si>
  <si>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</si>
  <si>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</si>
  <si>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</si>
  <si>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</si>
  <si>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</si>
  <si>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</si>
  <si>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</si>
  <si>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</si>
  <si>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</si>
  <si>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</si>
  <si>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</si>
  <si>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</si>
  <si>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</si>
  <si>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</si>
  <si>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</si>
  <si>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</si>
  <si>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</si>
  <si>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</si>
  <si>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</si>
  <si>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</si>
  <si>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</si>
  <si>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</si>
  <si>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</si>
  <si>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</si>
  <si>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</si>
  <si>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</si>
  <si>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</si>
  <si>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</si>
  <si>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</si>
  <si>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</si>
  <si>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</si>
  <si>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</si>
  <si>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</si>
  <si>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</si>
  <si>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</si>
  <si>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</si>
  <si>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</si>
  <si>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</si>
  <si>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</si>
  <si>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</si>
  <si>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</si>
  <si>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</si>
  <si>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</si>
  <si>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</si>
  <si>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</si>
  <si>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</si>
  <si>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</si>
  <si>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</si>
  <si>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</si>
  <si>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</si>
  <si>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</si>
  <si>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</si>
  <si>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</si>
  <si>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</si>
  <si>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</si>
  <si>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</si>
  <si>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</si>
  <si>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</si>
  <si>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</si>
  <si>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</si>
  <si>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</si>
  <si>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</si>
  <si>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</si>
  <si>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</si>
  <si>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</si>
  <si>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</si>
  <si>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</si>
  <si>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</si>
  <si>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</si>
  <si>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</si>
  <si>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</si>
  <si>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</si>
  <si>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</si>
  <si>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</si>
  <si>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</si>
  <si>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</si>
  <si>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</si>
  <si>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</si>
  <si>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</si>
  <si>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</si>
  <si>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</si>
  <si>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</si>
  <si>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</si>
  <si>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</si>
  <si>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</si>
  <si>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</si>
  <si>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</si>
  <si>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</si>
  <si>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</si>
  <si>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</si>
  <si>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</si>
  <si>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</si>
  <si>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</si>
  <si>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</si>
  <si>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</si>
  <si>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</si>
  <si>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</si>
  <si>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</si>
  <si>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</si>
  <si>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</si>
  <si>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</si>
  <si>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</si>
  <si>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</si>
  <si>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</si>
  <si>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</si>
  <si>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</si>
  <si>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</si>
  <si>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</si>
  <si>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</si>
  <si>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</si>
  <si>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</si>
  <si>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</si>
  <si>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</si>
  <si>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</si>
  <si>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</si>
  <si>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</si>
  <si>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</si>
  <si>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</si>
  <si>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</si>
  <si>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</si>
  <si>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</si>
  <si>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</si>
  <si>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</si>
  <si>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</si>
  <si>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</si>
  <si>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</si>
  <si>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</si>
  <si>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</si>
  <si>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</si>
  <si>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</si>
  <si>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</si>
  <si>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</si>
  <si>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</si>
  <si>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</si>
  <si>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</si>
  <si>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</si>
  <si>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</si>
  <si>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</si>
  <si>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</si>
  <si>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</si>
  <si>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</si>
  <si>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</si>
  <si>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</si>
  <si>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</si>
  <si>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</si>
  <si>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</si>
  <si>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</si>
  <si>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</si>
  <si>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</si>
  <si>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</si>
  <si>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</si>
  <si>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</si>
  <si>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</si>
  <si>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</si>
  <si>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</si>
  <si>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</si>
  <si>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</si>
  <si>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</si>
  <si>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</si>
  <si>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</si>
  <si>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</si>
  <si>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</si>
  <si>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</si>
  <si>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</si>
  <si>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</si>
  <si>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</si>
  <si>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</si>
  <si>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</si>
  <si>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</si>
  <si>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</si>
  <si>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</si>
  <si>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</si>
  <si>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</si>
  <si>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</si>
  <si>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</si>
  <si>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</si>
  <si>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</si>
  <si>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</si>
  <si>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</si>
  <si>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</si>
  <si>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</si>
  <si>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</si>
  <si>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</si>
  <si>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</si>
  <si>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</si>
  <si>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</si>
  <si>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</si>
  <si>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</si>
  <si>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</si>
  <si>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</si>
  <si>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</si>
  <si>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</si>
  <si>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</si>
  <si>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</si>
  <si>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</si>
  <si>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</si>
  <si>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</si>
  <si>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</si>
  <si>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</si>
  <si>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</si>
  <si>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</si>
  <si>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</si>
  <si>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</si>
  <si>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</si>
  <si>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</si>
  <si>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</si>
  <si>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</si>
  <si>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</si>
  <si>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</si>
  <si>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</si>
  <si>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</si>
  <si>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</si>
  <si>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</si>
  <si>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</si>
  <si>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</si>
  <si>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</si>
  <si>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</si>
  <si>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</si>
  <si>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</si>
  <si>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</si>
  <si>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</si>
  <si>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</si>
  <si>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</si>
  <si>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</si>
  <si>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</si>
  <si>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</si>
  <si>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</si>
  <si>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</si>
  <si>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</si>
  <si>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</si>
  <si>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</si>
  <si>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</si>
  <si>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</si>
  <si>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</si>
  <si>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</si>
  <si>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</si>
  <si>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</si>
  <si>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</si>
  <si>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</si>
  <si>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</si>
  <si>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</si>
  <si>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</si>
  <si>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</si>
  <si>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</si>
  <si>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</si>
  <si>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</si>
  <si>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</si>
  <si>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</si>
  <si>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</si>
  <si>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</si>
  <si>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</si>
  <si>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</si>
  <si>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</si>
  <si>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</si>
  <si>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</si>
  <si>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</si>
  <si>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</si>
  <si>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</si>
  <si>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</si>
  <si>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</si>
  <si>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</si>
  <si>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</si>
  <si>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</si>
  <si>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</si>
  <si>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</si>
  <si>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</si>
  <si>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</si>
  <si>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</si>
  <si>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</si>
  <si>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</si>
  <si>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</si>
  <si>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</si>
  <si>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</si>
  <si>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</si>
  <si>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</si>
  <si>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</si>
  <si>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</si>
  <si>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</si>
  <si>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</si>
  <si>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</si>
  <si>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</si>
  <si>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</si>
  <si>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</si>
  <si>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</si>
  <si>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</si>
  <si>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</si>
  <si>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</si>
  <si>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</si>
  <si>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</si>
  <si>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</si>
  <si>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</si>
  <si>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</si>
  <si>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</si>
  <si>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</si>
  <si>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</si>
  <si>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</si>
  <si>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</si>
  <si>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</si>
  <si>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</si>
  <si>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</si>
  <si>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</si>
  <si>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</si>
  <si>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</si>
  <si>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</si>
  <si>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</si>
  <si>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</si>
  <si>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</si>
  <si>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</si>
  <si>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</si>
  <si>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</si>
  <si>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</si>
  <si>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</si>
  <si>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</si>
  <si>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</si>
  <si>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</si>
  <si>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</si>
  <si>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</si>
  <si>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</si>
  <si>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</si>
  <si>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</si>
  <si>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</si>
  <si>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</si>
  <si>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</si>
  <si>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</si>
  <si>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</si>
  <si>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</si>
  <si>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</si>
  <si>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</si>
  <si>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</si>
  <si>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</si>
  <si>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</si>
  <si>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</si>
  <si>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</si>
  <si>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</si>
  <si>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</si>
  <si>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</si>
  <si>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</si>
  <si>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</si>
  <si>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</si>
  <si>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</si>
  <si>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</si>
  <si>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</si>
  <si>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</si>
  <si>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</si>
  <si>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</si>
  <si>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</si>
  <si>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</si>
  <si>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</si>
  <si>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</si>
  <si>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</si>
  <si>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</si>
  <si>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</si>
  <si>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</si>
  <si>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</si>
  <si>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</si>
  <si>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</si>
  <si>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</si>
  <si>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</si>
  <si>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</si>
  <si>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</si>
  <si>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</si>
  <si>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</si>
  <si>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</si>
  <si>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</si>
  <si>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</si>
  <si>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</si>
  <si>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</si>
  <si>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</si>
  <si>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</si>
  <si>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</si>
  <si>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</si>
  <si>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</si>
  <si>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</si>
  <si>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</si>
  <si>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</si>
  <si>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</si>
  <si>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</si>
  <si>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</si>
  <si>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</si>
  <si>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</si>
  <si>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</si>
  <si>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</si>
  <si>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</si>
  <si>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</si>
  <si>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</si>
  <si>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</si>
  <si>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</si>
  <si>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</si>
  <si>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</si>
  <si>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</si>
  <si>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</si>
  <si>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</si>
  <si>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</si>
  <si>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</si>
  <si>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</si>
  <si>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</si>
  <si>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</si>
  <si>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</si>
  <si>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</si>
  <si>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</si>
  <si>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</si>
  <si>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</si>
  <si>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</si>
  <si>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</si>
  <si>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</si>
  <si>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</si>
  <si>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</si>
  <si>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</si>
  <si>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</si>
  <si>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</si>
  <si>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</si>
  <si>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</si>
  <si>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</si>
  <si>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</si>
  <si>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</si>
  <si>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</si>
  <si>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</si>
  <si>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</si>
  <si>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</si>
  <si>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</si>
  <si>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</si>
  <si>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</si>
  <si>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</si>
  <si>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</si>
  <si>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</si>
  <si>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</si>
  <si>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</si>
  <si>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</si>
  <si>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</si>
  <si>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</si>
  <si>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</si>
  <si>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</si>
  <si>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</si>
  <si>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</si>
  <si>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</si>
  <si>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</si>
  <si>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</si>
  <si>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</si>
  <si>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</si>
  <si>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</si>
  <si>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</si>
  <si>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</si>
  <si>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</si>
  <si>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</si>
  <si>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</si>
  <si>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</si>
  <si>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</si>
  <si>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</si>
  <si>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</si>
  <si>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</si>
  <si>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</si>
  <si>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</si>
  <si>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</si>
  <si>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</si>
  <si>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</si>
  <si>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</si>
  <si>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</si>
  <si>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</si>
  <si>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</si>
  <si>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</si>
  <si>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</si>
  <si>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</si>
  <si>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</si>
  <si>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</si>
  <si>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</si>
  <si>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</si>
  <si>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</si>
  <si>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</si>
  <si>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</si>
  <si>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</si>
  <si>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</si>
  <si>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</si>
  <si>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</si>
  <si>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</si>
  <si>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</si>
  <si>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</si>
  <si>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</si>
  <si>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</si>
  <si>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</si>
  <si>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</si>
  <si>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</si>
  <si>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</si>
  <si>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</si>
  <si>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</si>
  <si>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</si>
  <si>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</si>
  <si>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</si>
  <si>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</si>
  <si>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</si>
  <si>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</si>
  <si>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</si>
  <si>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</si>
  <si>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</si>
  <si>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</si>
  <si>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</si>
  <si>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</si>
  <si>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</si>
  <si>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</si>
  <si>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</si>
  <si>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</si>
  <si>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</si>
  <si>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</si>
  <si>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</si>
  <si>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</si>
  <si>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</si>
  <si>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</si>
  <si>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</si>
  <si>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</si>
  <si>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</si>
  <si>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</si>
  <si>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</si>
  <si>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</si>
  <si>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</si>
  <si>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</si>
  <si>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</si>
  <si>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</si>
  <si>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</si>
  <si>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</si>
  <si>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</si>
  <si>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</si>
  <si>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</si>
  <si>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</si>
  <si>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</si>
  <si>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</si>
  <si>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</si>
  <si>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</si>
  <si>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</si>
  <si>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</si>
  <si>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</si>
  <si>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</si>
  <si>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</si>
  <si>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</si>
  <si>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</si>
  <si>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</si>
  <si>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</si>
  <si>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</si>
  <si>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</si>
  <si>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</si>
  <si>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</si>
  <si>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</si>
  <si>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</si>
  <si>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</si>
  <si>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</si>
  <si>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</si>
  <si>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</si>
  <si>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</si>
  <si>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</si>
  <si>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</si>
  <si>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</si>
  <si>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</si>
  <si>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</si>
  <si>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</si>
  <si>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</si>
  <si>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</si>
  <si>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</si>
  <si>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</si>
  <si>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</si>
  <si>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</si>
  <si>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</si>
  <si>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</si>
  <si>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</si>
  <si>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</si>
  <si>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</si>
  <si>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</si>
  <si>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</si>
  <si>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</si>
  <si>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</si>
  <si>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</si>
  <si>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</si>
  <si>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</si>
  <si>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</si>
  <si>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</si>
  <si>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</si>
  <si>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</si>
  <si>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</si>
  <si>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</si>
  <si>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</si>
  <si>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</si>
  <si>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</si>
  <si>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</si>
  <si>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</si>
  <si>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</si>
  <si>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</si>
  <si>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</si>
  <si>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</si>
  <si>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</si>
  <si>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</si>
  <si>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</si>
  <si>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</si>
  <si>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</si>
  <si>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</si>
  <si>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</si>
  <si>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</si>
  <si>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</si>
  <si>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</si>
  <si>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</si>
  <si>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</si>
  <si>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</si>
  <si>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</si>
  <si>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</si>
  <si>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</si>
  <si>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</si>
  <si>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</si>
  <si>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</si>
  <si>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</si>
  <si>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</si>
  <si>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</si>
  <si>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</si>
  <si>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</si>
  <si>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</si>
  <si>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</si>
  <si>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</si>
  <si>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</si>
  <si>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</si>
  <si>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</si>
  <si>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</si>
  <si>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</si>
  <si>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</si>
  <si>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</si>
  <si>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</si>
  <si>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</si>
  <si>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</si>
  <si>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</si>
  <si>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</si>
  <si>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</si>
  <si>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</si>
  <si>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</si>
  <si>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</si>
  <si>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</si>
  <si>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</si>
  <si>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</si>
  <si>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</si>
  <si>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</si>
  <si>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</si>
  <si>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</si>
  <si>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</si>
  <si>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</si>
  <si>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</si>
  <si>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</si>
  <si>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</si>
  <si>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</si>
  <si>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</si>
  <si>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</si>
  <si>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</si>
  <si>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</si>
  <si>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</si>
  <si>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</si>
  <si>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</si>
  <si>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</si>
  <si>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</si>
  <si>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</si>
  <si>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</si>
  <si>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</si>
  <si>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</si>
  <si>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</si>
  <si>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</si>
  <si>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</si>
  <si>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</si>
  <si>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</si>
  <si>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</si>
  <si>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</si>
  <si>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</si>
  <si>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</si>
  <si>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</si>
  <si>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</si>
  <si>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</si>
  <si>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</si>
  <si>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</si>
  <si>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</si>
  <si>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</si>
  <si>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</si>
  <si>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</si>
  <si>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</si>
  <si>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</si>
  <si>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</si>
  <si>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</si>
  <si>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</si>
  <si>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</si>
  <si>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</si>
  <si>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</si>
  <si>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</si>
  <si>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</si>
  <si>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</si>
  <si>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</si>
  <si>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</si>
  <si>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</si>
  <si>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</si>
  <si>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</si>
  <si>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</si>
  <si>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</si>
  <si>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</si>
  <si>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</si>
  <si>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</si>
  <si>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</si>
  <si>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</si>
  <si>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</si>
  <si>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</si>
  <si>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</si>
  <si>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</si>
  <si>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</si>
  <si>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</si>
  <si>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</si>
  <si>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</si>
  <si>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</si>
  <si>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</si>
  <si>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</si>
  <si>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</si>
  <si>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</si>
  <si>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</si>
  <si>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</si>
  <si>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</si>
  <si>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</si>
  <si>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</si>
  <si>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</si>
  <si>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</si>
  <si>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</si>
  <si>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</si>
  <si>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</si>
  <si>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</si>
  <si>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</si>
  <si>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</si>
  <si>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</si>
  <si>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</si>
  <si>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</si>
  <si>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</si>
  <si>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</si>
  <si>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</si>
  <si>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</si>
  <si>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</si>
  <si>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</si>
  <si>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</si>
  <si>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</si>
  <si>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</si>
  <si>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</si>
  <si>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</si>
  <si>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</si>
  <si>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</si>
  <si>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</si>
  <si>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</si>
  <si>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</si>
  <si>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</si>
  <si>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</si>
  <si>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</si>
  <si>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</si>
  <si>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</si>
  <si>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</si>
  <si>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</si>
  <si>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</si>
  <si>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</si>
  <si>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</si>
  <si>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</si>
  <si>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</si>
  <si>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</si>
  <si>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</si>
  <si>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</si>
  <si>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</si>
  <si>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</si>
  <si>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</si>
  <si>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</si>
  <si>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</si>
  <si>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</si>
  <si>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</si>
  <si>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</si>
  <si>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</si>
  <si>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</si>
  <si>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</si>
  <si>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</si>
  <si>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</si>
  <si>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</si>
  <si>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</si>
  <si>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</si>
  <si>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</si>
  <si>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</si>
  <si>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</si>
  <si>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</si>
  <si>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</si>
  <si>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</si>
  <si>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</si>
  <si>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</si>
  <si>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</si>
  <si>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</si>
  <si>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</si>
  <si>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</si>
  <si>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</si>
  <si>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</si>
  <si>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</si>
  <si>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</si>
  <si>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</si>
  <si>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</si>
  <si>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</si>
  <si>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</si>
  <si>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</si>
  <si>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</si>
  <si>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</si>
  <si>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</si>
  <si>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</si>
  <si>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</si>
  <si>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</si>
  <si>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</si>
  <si>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</si>
  <si>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</si>
  <si>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</si>
  <si>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</si>
  <si>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</si>
  <si>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</si>
  <si>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</si>
  <si>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</si>
  <si>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</si>
  <si>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</si>
  <si>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</si>
  <si>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</si>
  <si>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</si>
  <si>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</si>
  <si>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</si>
  <si>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</si>
  <si>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</si>
  <si>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</si>
  <si>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</si>
  <si>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</si>
  <si>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</si>
  <si>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</si>
  <si>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</si>
  <si>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</si>
  <si>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</si>
  <si>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</si>
  <si>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</si>
  <si>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</si>
  <si>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</si>
  <si>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</si>
  <si>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</si>
  <si>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</si>
  <si>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</si>
  <si>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</si>
  <si>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</si>
  <si>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</si>
  <si>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</si>
  <si>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</si>
  <si>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</si>
  <si>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</si>
  <si>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</si>
  <si>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</si>
  <si>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</si>
  <si>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</si>
  <si>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</si>
  <si>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</si>
  <si>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</si>
  <si>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</si>
  <si>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</si>
  <si>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</si>
  <si>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</si>
  <si>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</si>
  <si>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</si>
  <si>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</si>
  <si>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</si>
  <si>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</si>
  <si>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</si>
  <si>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</si>
  <si>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</si>
  <si>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</si>
  <si>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</si>
  <si>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</si>
  <si>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</si>
  <si>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</si>
  <si>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</si>
  <si>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</si>
  <si>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</si>
  <si>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</si>
  <si>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</si>
  <si>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</si>
  <si>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</si>
  <si>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</si>
  <si>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</si>
  <si>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</si>
  <si>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</si>
  <si>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</si>
  <si>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</si>
  <si>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</si>
  <si>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</si>
  <si>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</si>
  <si>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</si>
  <si>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</si>
  <si>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</si>
  <si>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</si>
  <si>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</si>
  <si>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</si>
  <si>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</si>
  <si>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</si>
  <si>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</si>
  <si>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</si>
  <si>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</si>
  <si>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</si>
  <si>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</si>
  <si>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</si>
  <si>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</si>
  <si>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</si>
  <si>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</si>
  <si>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</si>
  <si>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</si>
  <si>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</si>
  <si>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</si>
  <si>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</si>
  <si>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</si>
  <si>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</si>
  <si>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</si>
  <si>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</si>
  <si>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</si>
  <si>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</si>
  <si>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</si>
  <si>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</si>
  <si>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</si>
  <si>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</si>
  <si>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</si>
  <si>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</si>
  <si>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</si>
  <si>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</si>
  <si>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</si>
  <si>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</si>
  <si>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</si>
  <si>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</si>
  <si>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</si>
  <si>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</si>
  <si>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</si>
  <si>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</si>
  <si>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</si>
  <si>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</si>
  <si>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</si>
  <si>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</si>
  <si>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</si>
  <si>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</si>
  <si>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</si>
  <si>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</si>
  <si>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</si>
  <si>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</si>
  <si>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</si>
  <si>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</si>
  <si>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</si>
  <si>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</si>
  <si>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</si>
  <si>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</si>
  <si>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</si>
  <si>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</si>
  <si>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</si>
  <si>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</si>
  <si>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</si>
  <si>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</si>
  <si>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</si>
  <si>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</si>
  <si>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</si>
  <si>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</si>
  <si>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</si>
  <si>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</si>
  <si>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</si>
  <si>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</si>
  <si>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</si>
  <si>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</si>
  <si>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</si>
  <si>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</si>
  <si>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</si>
  <si>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</si>
  <si>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</si>
  <si>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</si>
  <si>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</si>
  <si>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</si>
  <si>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</si>
  <si>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</si>
  <si>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</si>
  <si>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</si>
  <si>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</si>
  <si>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</si>
  <si>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</si>
  <si>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</si>
  <si>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</si>
  <si>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</si>
  <si>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</si>
  <si>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</si>
  <si>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</si>
  <si>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</si>
  <si>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</si>
  <si>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</si>
  <si>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</si>
  <si>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</si>
  <si>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</si>
  <si>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</si>
  <si>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</si>
  <si>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</si>
  <si>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</si>
  <si>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</si>
  <si>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</si>
  <si>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</si>
  <si>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</si>
  <si>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</si>
  <si>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</si>
  <si>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</si>
  <si>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</si>
  <si>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</si>
  <si>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</si>
  <si>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</si>
  <si>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</si>
  <si>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</si>
  <si>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</si>
  <si>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</si>
  <si>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</si>
  <si>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</si>
  <si>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</si>
  <si>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</si>
  <si>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</si>
  <si>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</si>
  <si>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</si>
  <si>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</si>
  <si>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</si>
  <si>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</si>
  <si>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</si>
  <si>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</si>
  <si>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</si>
  <si>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</si>
  <si>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</si>
  <si>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</si>
  <si>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</si>
  <si>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</si>
  <si>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</si>
  <si>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</si>
  <si>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</si>
  <si>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</si>
  <si>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</si>
  <si>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</si>
  <si>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</si>
  <si>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</si>
  <si>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</si>
  <si>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</si>
  <si>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</si>
  <si>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</si>
  <si>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</si>
  <si>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</si>
  <si>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</si>
  <si>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</si>
  <si>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</si>
  <si>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</si>
  <si>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</si>
  <si>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</si>
  <si>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</si>
  <si>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</si>
  <si>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</si>
  <si>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</si>
  <si>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</si>
  <si>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</si>
  <si>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</si>
  <si>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</si>
  <si>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</si>
  <si>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</si>
  <si>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</si>
  <si>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</si>
  <si>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</si>
  <si>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</si>
  <si>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</si>
  <si>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</si>
  <si>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</si>
  <si>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</si>
  <si>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</si>
  <si>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</si>
  <si>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</si>
  <si>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</si>
  <si>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</si>
  <si>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</si>
  <si>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</si>
  <si>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</si>
  <si>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</si>
  <si>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</si>
  <si>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</si>
  <si>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</si>
  <si>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</si>
  <si>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</si>
  <si>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</si>
  <si>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</si>
  <si>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</si>
  <si>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</si>
  <si>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</si>
  <si>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</si>
  <si>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</si>
  <si>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</si>
  <si>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</si>
  <si>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</si>
  <si>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</si>
  <si>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</si>
  <si>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</si>
  <si>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</si>
  <si>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</si>
  <si>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</si>
  <si>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</si>
  <si>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</si>
  <si>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</si>
  <si>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</si>
  <si>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</si>
  <si>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</si>
  <si>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</si>
  <si>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</si>
  <si>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</si>
  <si>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</si>
  <si>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</si>
  <si>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</si>
  <si>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</si>
  <si>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</si>
  <si>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</si>
  <si>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</si>
  <si>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</si>
  <si>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</si>
  <si>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</si>
  <si>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</si>
  <si>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</si>
  <si>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</si>
  <si>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</si>
  <si>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</si>
  <si>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</si>
  <si>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</si>
  <si>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</si>
  <si>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</si>
  <si>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</si>
  <si>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</si>
  <si>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</si>
  <si>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</si>
  <si>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</si>
  <si>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</si>
  <si>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</si>
  <si>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</si>
  <si>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</si>
  <si>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</si>
  <si>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</si>
  <si>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</si>
  <si>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</si>
  <si>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</si>
  <si>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</si>
  <si>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</si>
  <si>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</si>
  <si>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</si>
  <si>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</si>
  <si>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</si>
  <si>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</si>
  <si>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</si>
  <si>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</si>
  <si>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</si>
  <si>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</si>
  <si>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</si>
  <si>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</si>
  <si>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</si>
  <si>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</si>
  <si>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</si>
  <si>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</si>
  <si>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</si>
  <si>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</si>
  <si>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</si>
  <si>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</si>
  <si>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</si>
  <si>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</si>
  <si>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</si>
  <si>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</si>
  <si>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</si>
  <si>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</si>
  <si>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</si>
  <si>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</si>
  <si>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</si>
  <si>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</si>
  <si>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</si>
  <si>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</si>
  <si>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</si>
  <si>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</si>
  <si>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</si>
  <si>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</si>
  <si>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</si>
  <si>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</si>
  <si>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</si>
  <si>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</si>
  <si>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</si>
  <si>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</si>
  <si>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</si>
  <si>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</si>
  <si>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</si>
  <si>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</si>
  <si>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</si>
  <si>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</si>
  <si>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</si>
  <si>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</si>
  <si>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</si>
  <si>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</si>
  <si>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</si>
  <si>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</si>
  <si>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</si>
  <si>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</si>
  <si>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</si>
  <si>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</si>
  <si>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</si>
  <si>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</si>
  <si>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</si>
  <si>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</si>
  <si>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</si>
  <si>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</si>
  <si>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</si>
  <si>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</si>
  <si>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</si>
  <si>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</si>
  <si>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</si>
  <si>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</si>
  <si>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</si>
  <si>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</si>
  <si>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</si>
  <si>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</si>
  <si>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</si>
  <si>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</si>
  <si>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</si>
  <si>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</si>
  <si>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</si>
  <si>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</si>
  <si>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</si>
  <si>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</si>
  <si>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</si>
  <si>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</si>
  <si>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</si>
  <si>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</si>
  <si>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</si>
  <si>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</si>
  <si>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</si>
  <si>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</si>
  <si>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</si>
  <si>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</si>
  <si>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</si>
  <si>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</si>
  <si>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</si>
  <si>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</si>
  <si>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</si>
  <si>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</si>
  <si>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</si>
  <si>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</si>
  <si>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</si>
  <si>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</si>
  <si>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</si>
  <si>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</si>
  <si>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</si>
  <si>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</si>
  <si>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</si>
  <si>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</si>
  <si>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</si>
  <si>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</si>
  <si>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</si>
  <si>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</si>
  <si>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</si>
  <si>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</si>
  <si>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</si>
  <si>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</si>
  <si>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</si>
  <si>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</si>
  <si>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</si>
  <si>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</si>
  <si>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</si>
  <si>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</si>
  <si>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</si>
  <si>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</si>
  <si>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</si>
  <si>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</si>
  <si>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</si>
  <si>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</si>
  <si>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</si>
  <si>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</si>
  <si>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</si>
  <si>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</si>
  <si>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</si>
  <si>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</si>
  <si>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</si>
  <si>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</si>
  <si>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</si>
  <si>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</si>
  <si>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</si>
  <si>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</si>
  <si>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</si>
  <si>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</si>
  <si>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</si>
  <si>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</si>
  <si>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</si>
  <si>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</si>
  <si>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</si>
  <si>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</si>
  <si>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</si>
  <si>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</si>
  <si>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</si>
  <si>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</si>
  <si>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</si>
  <si>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</si>
  <si>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</si>
  <si>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</si>
  <si>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</si>
  <si>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</si>
  <si>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</si>
  <si>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</si>
  <si>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</si>
  <si>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</si>
  <si>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</si>
  <si>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</si>
  <si>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</si>
  <si>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</si>
  <si>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</si>
  <si>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</si>
  <si>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</si>
  <si>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</si>
  <si>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</si>
  <si>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</si>
  <si>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</si>
  <si>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</si>
  <si>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</si>
  <si>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</si>
  <si>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</si>
  <si>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</si>
  <si>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</si>
  <si>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</si>
  <si>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</si>
  <si>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</si>
  <si>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</si>
  <si>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</si>
  <si>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</si>
  <si>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</si>
  <si>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</si>
  <si>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</si>
  <si>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</si>
  <si>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</si>
  <si>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</si>
  <si>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</si>
  <si>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</si>
  <si>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</si>
  <si>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</si>
  <si>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</si>
  <si>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</si>
  <si>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</si>
  <si>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</si>
  <si>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</si>
  <si>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</si>
  <si>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</si>
  <si>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</si>
  <si>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</si>
  <si>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</si>
  <si>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</si>
  <si>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</si>
  <si>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</si>
  <si>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</si>
  <si>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</si>
  <si>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</si>
  <si>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</si>
  <si>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</si>
  <si>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</si>
  <si>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</si>
  <si>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</si>
  <si>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</si>
  <si>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</si>
  <si>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</si>
  <si>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</si>
  <si>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</si>
  <si>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</si>
  <si>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</si>
  <si>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</si>
  <si>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</si>
  <si>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</si>
  <si>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</si>
  <si>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</si>
  <si>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</si>
  <si>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</si>
  <si>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</si>
  <si>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</si>
  <si>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</si>
  <si>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</si>
  <si>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</si>
  <si>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</si>
  <si>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</si>
  <si>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</si>
  <si>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</si>
  <si>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</si>
  <si>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</si>
  <si>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</si>
  <si>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</si>
  <si>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</si>
  <si>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</si>
  <si>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</si>
  <si>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</si>
  <si>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</si>
  <si>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</si>
  <si>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</si>
  <si>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</si>
  <si>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</si>
  <si>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</si>
  <si>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</si>
  <si>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</si>
  <si>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</si>
  <si>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</si>
  <si>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</si>
  <si>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</si>
  <si>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</si>
  <si>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</si>
  <si>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</si>
  <si>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</si>
  <si>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</si>
  <si>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</si>
  <si>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</si>
  <si>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</si>
  <si>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</si>
  <si>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</si>
  <si>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</si>
  <si>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</si>
  <si>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</si>
  <si>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</si>
  <si>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</si>
  <si>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</si>
  <si>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</si>
  <si>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</si>
  <si>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</si>
  <si>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</si>
  <si>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</si>
  <si>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</si>
  <si>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</si>
  <si>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</si>
  <si>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</si>
  <si>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</si>
  <si>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</si>
  <si>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</si>
  <si>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</si>
  <si>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</si>
  <si>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</si>
  <si>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</si>
  <si>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</si>
  <si>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</si>
  <si>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</si>
  <si>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</si>
  <si>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</si>
  <si>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</si>
  <si>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</si>
  <si>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</si>
  <si>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</si>
  <si>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</si>
  <si>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</si>
  <si>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</si>
  <si>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</si>
  <si>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</si>
  <si>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</si>
  <si>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</si>
  <si>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</si>
  <si>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</si>
  <si>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</si>
  <si>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</si>
  <si>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</si>
  <si>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</si>
  <si>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</si>
  <si>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</si>
  <si>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</si>
  <si>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</si>
  <si>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</si>
  <si>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</si>
  <si>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</si>
  <si>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</si>
  <si>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</si>
  <si>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</si>
  <si>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</si>
  <si>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</si>
  <si>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</si>
  <si>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</si>
  <si>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</si>
  <si>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</si>
  <si>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</si>
  <si>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</si>
  <si>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</si>
  <si>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</si>
  <si>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</si>
  <si>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</si>
  <si>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</si>
  <si>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</si>
  <si>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</si>
  <si>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</si>
  <si>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</si>
  <si>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</si>
  <si>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</si>
  <si>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</si>
  <si>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</si>
  <si>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</si>
  <si>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</si>
  <si>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</si>
  <si>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</si>
  <si>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</si>
  <si>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</si>
  <si>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</si>
  <si>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</si>
  <si>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</si>
  <si>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</si>
  <si>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</si>
  <si>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</si>
  <si>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</si>
  <si>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</si>
  <si>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</si>
  <si>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</si>
  <si>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</si>
  <si>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</si>
  <si>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</si>
  <si>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</si>
  <si>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</si>
  <si>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</si>
  <si>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</si>
  <si>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</si>
  <si>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</si>
  <si>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</si>
  <si>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</si>
  <si>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</si>
  <si>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</si>
  <si>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</si>
  <si>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</si>
  <si>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</si>
  <si>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</si>
  <si>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</si>
  <si>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</si>
  <si>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</si>
  <si>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</si>
  <si>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</si>
  <si>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</si>
  <si>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</si>
  <si>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</si>
  <si>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</si>
  <si>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</si>
  <si>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</si>
  <si>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</si>
  <si>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</si>
  <si>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</si>
  <si>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</si>
  <si>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</si>
  <si>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</si>
  <si>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</si>
  <si>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</si>
  <si>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</si>
  <si>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</si>
  <si>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</si>
  <si>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</si>
  <si>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</si>
  <si>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</si>
  <si>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</si>
  <si>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</si>
  <si>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</si>
  <si>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</si>
  <si>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</si>
  <si>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</si>
  <si>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</si>
  <si>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</si>
  <si>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</si>
  <si>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</si>
  <si>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</si>
  <si>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</si>
  <si>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</si>
  <si>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</si>
  <si>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</si>
  <si>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</si>
  <si>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</si>
  <si>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</si>
  <si>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</si>
  <si>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</si>
  <si>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</si>
  <si>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</si>
  <si>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</si>
  <si>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</si>
  <si>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</si>
  <si>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</si>
  <si>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</si>
  <si>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</si>
  <si>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</si>
  <si>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</si>
  <si>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</si>
  <si>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</si>
  <si>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</si>
  <si>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</si>
  <si>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</si>
  <si>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</si>
  <si>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</si>
  <si>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</si>
  <si>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</si>
  <si>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</si>
  <si>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</si>
  <si>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</si>
  <si>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</si>
  <si>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</si>
  <si>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</si>
  <si>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</si>
  <si>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</si>
  <si>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</si>
  <si>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</si>
  <si>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</si>
  <si>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</si>
  <si>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</si>
  <si>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</si>
  <si>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</si>
  <si>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</si>
  <si>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</si>
  <si>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</si>
  <si>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</si>
  <si>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</si>
  <si>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</si>
  <si>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</si>
  <si>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</si>
  <si>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</si>
  <si>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</si>
  <si>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</si>
  <si>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</si>
  <si>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</si>
  <si>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</si>
  <si>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</si>
  <si>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</si>
  <si>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</si>
  <si>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</si>
  <si>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</si>
  <si>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</si>
  <si>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</si>
  <si>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</si>
  <si>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</si>
  <si>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</si>
  <si>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</si>
  <si>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</si>
  <si>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</si>
  <si>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</si>
  <si>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</si>
  <si>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</si>
  <si>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</si>
  <si>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</si>
  <si>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</si>
  <si>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</si>
  <si>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</si>
  <si>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</si>
  <si>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</si>
  <si>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</si>
  <si>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</si>
  <si>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</si>
  <si>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</si>
  <si>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</si>
  <si>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</si>
  <si>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</si>
  <si>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</si>
  <si>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</si>
  <si>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</si>
  <si>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</si>
  <si>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</si>
  <si>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</si>
  <si>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</si>
  <si>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</si>
  <si>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</si>
  <si>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</si>
  <si>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</si>
  <si>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</si>
  <si>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</si>
  <si>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</si>
  <si>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</si>
  <si>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</si>
  <si>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</si>
  <si>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</si>
  <si>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</si>
  <si>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</si>
  <si>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</si>
  <si>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</si>
  <si>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</si>
  <si>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</si>
  <si>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</si>
  <si>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</si>
  <si>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</si>
  <si>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</si>
  <si>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</si>
  <si>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</si>
  <si>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</si>
  <si>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</si>
  <si>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</si>
  <si>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</si>
  <si>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</si>
  <si>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</si>
  <si>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</si>
  <si>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</si>
  <si>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</si>
  <si>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</si>
  <si>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</si>
  <si>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</si>
  <si>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</si>
  <si>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</si>
  <si>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</si>
  <si>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</si>
  <si>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</si>
  <si>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</si>
  <si>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</si>
  <si>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</si>
  <si>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</si>
  <si>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</si>
  <si>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</si>
  <si>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</si>
  <si>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</si>
  <si>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</si>
  <si>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</si>
  <si>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</si>
  <si>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</si>
  <si>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</si>
  <si>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</si>
  <si>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</si>
  <si>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</si>
  <si>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</si>
  <si>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</si>
  <si>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</si>
  <si>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</si>
  <si>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</si>
  <si>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</si>
  <si>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</si>
  <si>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</si>
  <si>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</si>
  <si>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</si>
  <si>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</si>
  <si>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</si>
  <si>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</si>
  <si>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</si>
  <si>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</si>
  <si>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</si>
  <si>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</si>
  <si>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</si>
  <si>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</si>
  <si>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</si>
  <si>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</si>
  <si>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</si>
  <si>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</si>
  <si>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</si>
  <si>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</si>
  <si>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</si>
  <si>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</si>
  <si>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</si>
  <si>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</si>
  <si>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</si>
  <si>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</si>
  <si>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</si>
  <si>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</si>
  <si>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</si>
  <si>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</si>
  <si>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</si>
  <si>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</si>
  <si>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</si>
  <si>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</si>
  <si>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</si>
  <si>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</si>
  <si>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</si>
  <si>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</si>
  <si>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</si>
  <si>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</si>
  <si>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</si>
  <si>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</si>
  <si>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</si>
  <si>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</si>
  <si>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</si>
  <si>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</si>
  <si>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</si>
  <si>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</si>
  <si>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</si>
  <si>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</si>
  <si>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</si>
  <si>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</si>
  <si>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</si>
  <si>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</si>
  <si>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</si>
  <si>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</si>
  <si>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</si>
  <si>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</si>
  <si>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</si>
  <si>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</si>
  <si>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</si>
  <si>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</si>
  <si>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</si>
  <si>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</si>
  <si>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</si>
  <si>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</si>
  <si>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</si>
  <si>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</si>
  <si>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</si>
  <si>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</si>
  <si>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</si>
  <si>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</si>
  <si>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</si>
  <si>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</si>
  <si>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</si>
  <si>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</si>
  <si>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</si>
  <si>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</si>
  <si>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</si>
  <si>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</si>
  <si>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</si>
  <si>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</si>
  <si>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</si>
  <si>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</si>
  <si>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</si>
  <si>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</si>
  <si>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</si>
  <si>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</si>
  <si>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</si>
  <si>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</si>
  <si>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</si>
  <si>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</si>
  <si>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</si>
  <si>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</si>
  <si>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</si>
  <si>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</si>
  <si>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</si>
  <si>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</si>
  <si>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</si>
  <si>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</si>
  <si>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</si>
  <si>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</si>
  <si>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</si>
  <si>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</si>
  <si>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</si>
  <si>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</si>
  <si>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</si>
  <si>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</si>
  <si>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</si>
  <si>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</si>
  <si>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</si>
  <si>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</si>
  <si>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</si>
  <si>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</si>
  <si>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</si>
  <si>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</si>
  <si>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</si>
  <si>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</si>
  <si>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</si>
  <si>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</si>
  <si>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</si>
  <si>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</si>
  <si>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</si>
  <si>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</si>
  <si>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</si>
  <si>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</si>
  <si>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</si>
  <si>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</si>
  <si>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</si>
  <si>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</si>
  <si>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</si>
  <si>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</si>
  <si>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</si>
  <si>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</si>
  <si>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</si>
  <si>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</si>
  <si>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</si>
  <si>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</si>
  <si>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</si>
  <si>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</si>
  <si>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</si>
  <si>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</si>
  <si>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</si>
  <si>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</si>
  <si>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</si>
  <si>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</si>
  <si>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</si>
  <si>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</si>
  <si>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</si>
  <si>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</si>
  <si>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</si>
  <si>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</si>
  <si>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</si>
  <si>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</si>
  <si>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</si>
  <si>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</si>
  <si>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</si>
  <si>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</si>
  <si>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</si>
  <si>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</si>
  <si>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</si>
  <si>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</si>
  <si>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</si>
  <si>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</si>
  <si>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</si>
  <si>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</si>
  <si>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</si>
  <si>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</si>
  <si>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</si>
  <si>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</si>
  <si>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</si>
  <si>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</si>
  <si>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</si>
  <si>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</si>
  <si>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</si>
  <si>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</si>
  <si>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</si>
  <si>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</si>
  <si>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</si>
  <si>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</si>
  <si>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</si>
  <si>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</si>
  <si>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</si>
  <si>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</si>
  <si>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</si>
  <si>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</si>
  <si>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</si>
  <si>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</si>
  <si>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</si>
  <si>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</si>
  <si>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</si>
  <si>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</si>
  <si>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</si>
  <si>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</si>
  <si>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</si>
  <si>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</si>
  <si>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</si>
  <si>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</si>
  <si>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</si>
  <si>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</si>
  <si>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</si>
  <si>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</si>
  <si>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</si>
  <si>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</si>
  <si>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</si>
  <si>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</si>
  <si>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</si>
  <si>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</si>
  <si>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</si>
  <si>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</si>
  <si>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</si>
  <si>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</si>
  <si>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</si>
  <si>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</si>
  <si>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</si>
  <si>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</si>
  <si>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</si>
  <si>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</si>
  <si>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</si>
  <si>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</si>
  <si>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</si>
  <si>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</si>
  <si>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</si>
  <si>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</si>
  <si>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</si>
  <si>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</si>
  <si>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</si>
  <si>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</si>
  <si>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</si>
  <si>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</si>
  <si>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</si>
  <si>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</si>
  <si>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</si>
  <si>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</si>
  <si>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</si>
  <si>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</si>
  <si>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</si>
  <si>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</si>
  <si>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</si>
  <si>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</si>
  <si>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</si>
  <si>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</si>
  <si>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</si>
  <si>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</si>
  <si>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</si>
  <si>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</si>
  <si>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</si>
  <si>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</si>
  <si>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</si>
  <si>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</si>
  <si>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</si>
  <si>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</si>
  <si>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</si>
  <si>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</si>
  <si>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</si>
  <si>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</si>
  <si>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</si>
  <si>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</si>
  <si>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</si>
  <si>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</si>
  <si>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</si>
  <si>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</si>
  <si>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</si>
  <si>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</si>
  <si>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</si>
  <si>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</si>
  <si>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</si>
  <si>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</si>
  <si>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</si>
  <si>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</si>
  <si>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</si>
  <si>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</si>
  <si>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</si>
  <si>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</si>
  <si>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</si>
  <si>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</si>
  <si>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</si>
  <si>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</si>
  <si>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</si>
  <si>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</si>
  <si>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</si>
  <si>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</si>
  <si>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</si>
  <si>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</si>
  <si>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</si>
  <si>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</si>
  <si>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</si>
  <si>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</si>
  <si>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</si>
  <si>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</si>
  <si>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</si>
  <si>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</si>
  <si>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</si>
  <si>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</si>
  <si>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</si>
  <si>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</si>
  <si>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</si>
  <si>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</si>
  <si>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</si>
  <si>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</si>
  <si>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</si>
  <si>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</si>
  <si>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</si>
  <si>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</si>
  <si>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</si>
  <si>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</si>
  <si>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</si>
  <si>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</si>
  <si>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</si>
  <si>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</si>
  <si>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</si>
  <si>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</si>
  <si>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</si>
  <si>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</si>
  <si>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</si>
  <si>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</si>
  <si>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</si>
  <si>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</si>
  <si>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</si>
  <si>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</si>
  <si>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</si>
  <si>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</si>
  <si>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</si>
  <si>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</si>
  <si>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</si>
  <si>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</si>
  <si>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</si>
  <si>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</si>
  <si>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</si>
  <si>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</si>
  <si>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</si>
  <si>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</si>
  <si>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</si>
  <si>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</si>
  <si>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</si>
  <si>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</si>
  <si>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</si>
  <si>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</si>
  <si>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</si>
  <si>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</si>
  <si>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</si>
  <si>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</si>
  <si>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</si>
  <si>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</si>
  <si>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</si>
  <si>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</si>
  <si>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</si>
  <si>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</si>
  <si>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</si>
  <si>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</si>
  <si>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</si>
  <si>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</si>
  <si>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</si>
  <si>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</si>
  <si>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</si>
  <si>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</si>
  <si>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</si>
  <si>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</si>
  <si>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</si>
  <si>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</si>
  <si>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</si>
  <si>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</si>
  <si>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</si>
  <si>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</si>
  <si>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</si>
  <si>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</si>
  <si>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</si>
  <si>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</si>
  <si>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</si>
  <si>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</si>
  <si>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</si>
  <si>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</si>
  <si>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</si>
  <si>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</si>
  <si>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</si>
  <si>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</si>
  <si>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</si>
  <si>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</si>
  <si>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</si>
  <si>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</si>
  <si>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</si>
  <si>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</si>
  <si>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</si>
  <si>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</si>
  <si>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</si>
  <si>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</si>
  <si>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</si>
  <si>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</si>
  <si>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</si>
  <si>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</si>
  <si>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</si>
  <si>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</si>
  <si>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</si>
  <si>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</si>
  <si>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</si>
  <si>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</si>
  <si>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</si>
  <si>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</si>
  <si>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</si>
  <si>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</si>
  <si>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</si>
  <si>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</si>
  <si>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</si>
  <si>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</si>
  <si>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</si>
  <si>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</si>
  <si>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</si>
  <si>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</si>
  <si>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</si>
  <si>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</si>
  <si>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</si>
  <si>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</si>
  <si>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</si>
  <si>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</si>
  <si>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</si>
  <si>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</si>
  <si>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</si>
  <si>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</si>
  <si>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</si>
  <si>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</si>
  <si>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</si>
  <si>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</si>
  <si>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</si>
  <si>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</si>
  <si>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</si>
  <si>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</si>
  <si>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</si>
  <si>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</si>
  <si>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</si>
  <si>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</si>
  <si>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</si>
  <si>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</si>
  <si>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</si>
  <si>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</si>
  <si>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</si>
  <si>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</si>
  <si>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</si>
  <si>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</si>
  <si>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</si>
  <si>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</si>
  <si>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</si>
  <si>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</si>
  <si>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</si>
  <si>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</si>
  <si>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</si>
  <si>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</si>
  <si>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</si>
  <si>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</si>
  <si>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</si>
  <si>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</si>
  <si>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</si>
  <si>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</si>
  <si>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</si>
  <si>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</si>
  <si>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</si>
  <si>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</si>
  <si>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</si>
  <si>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</si>
  <si>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</si>
  <si>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</si>
  <si>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</si>
  <si>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</si>
  <si>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</si>
  <si>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</si>
  <si>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</si>
  <si>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</si>
  <si>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</si>
  <si>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</si>
  <si>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</si>
  <si>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</si>
  <si>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</si>
  <si>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</si>
  <si>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</si>
  <si>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</si>
  <si>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</si>
  <si>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</si>
  <si>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</si>
  <si>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</si>
  <si>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</si>
  <si>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</si>
  <si>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</si>
  <si>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</si>
  <si>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</si>
  <si>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</si>
  <si>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</si>
  <si>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</si>
  <si>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</si>
  <si>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</si>
  <si>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</si>
  <si>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</si>
  <si>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</si>
  <si>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</si>
  <si>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</si>
  <si>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</si>
  <si>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</si>
  <si>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</si>
  <si>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</si>
  <si>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</si>
  <si>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</si>
  <si>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</si>
  <si>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</si>
  <si>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</si>
  <si>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</si>
  <si>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</si>
  <si>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</si>
  <si>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</si>
  <si>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</si>
  <si>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</si>
  <si>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</si>
  <si>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</si>
  <si>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</si>
  <si>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</si>
  <si>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</si>
  <si>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</si>
  <si>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</si>
  <si>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</si>
  <si>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</si>
  <si>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</si>
  <si>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</si>
  <si>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</si>
  <si>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</si>
  <si>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</si>
  <si>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</si>
  <si>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</si>
  <si>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</si>
  <si>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</si>
  <si>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</si>
  <si>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</si>
  <si>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</si>
  <si>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</si>
  <si>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</si>
  <si>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</si>
  <si>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</si>
  <si>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</si>
  <si>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</si>
  <si>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</si>
  <si>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</si>
  <si>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</si>
  <si>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</si>
  <si>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</si>
  <si>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</si>
  <si>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</si>
  <si>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</si>
  <si>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</si>
  <si>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</si>
  <si>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</si>
  <si>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</si>
  <si>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</si>
  <si>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</si>
  <si>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</si>
  <si>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</si>
  <si>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</si>
  <si>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</si>
  <si>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</si>
  <si>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</si>
  <si>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</si>
  <si>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</si>
  <si>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</si>
  <si>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</si>
  <si>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</si>
  <si>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</si>
  <si>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</si>
  <si>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</si>
  <si>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</si>
  <si>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</si>
  <si>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</si>
  <si>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</si>
  <si>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</si>
  <si>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</si>
  <si>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</si>
  <si>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</si>
  <si>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</si>
  <si>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</si>
  <si>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</si>
  <si>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</si>
  <si>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</si>
  <si>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</si>
  <si>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</si>
  <si>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</si>
  <si>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</si>
  <si>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</si>
  <si>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</si>
  <si>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</si>
  <si>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</si>
  <si>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</si>
  <si>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</si>
  <si>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</si>
  <si>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</si>
  <si>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</si>
  <si>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</si>
  <si>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</si>
  <si>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</si>
  <si>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</si>
  <si>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</si>
  <si>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</si>
  <si>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</si>
  <si>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</si>
  <si>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</si>
  <si>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</si>
  <si>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</si>
  <si>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</si>
  <si>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</si>
  <si>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</si>
  <si>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</si>
  <si>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</si>
  <si>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</si>
  <si>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</si>
  <si>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</si>
  <si>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</si>
  <si>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</si>
  <si>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</si>
  <si>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</si>
  <si>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</si>
  <si>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</si>
  <si>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</si>
  <si>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</si>
  <si>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</si>
  <si>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</si>
  <si>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</si>
  <si>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</si>
  <si>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</si>
  <si>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</si>
  <si>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</si>
  <si>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</si>
  <si>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</si>
  <si>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</si>
  <si>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</si>
  <si>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</si>
  <si>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</si>
  <si>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</si>
  <si>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</si>
  <si>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</si>
  <si>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</si>
  <si>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</si>
  <si>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</si>
  <si>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</si>
  <si>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</si>
  <si>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</si>
  <si>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</si>
  <si>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</si>
  <si>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</si>
  <si>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</si>
  <si>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</si>
  <si>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</si>
  <si>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</si>
  <si>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</si>
  <si>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</si>
  <si>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</si>
  <si>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</si>
  <si>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</si>
  <si>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</si>
  <si>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</si>
  <si>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</si>
  <si>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</si>
  <si>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</si>
  <si>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</si>
  <si>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</si>
  <si>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</si>
  <si>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</si>
  <si>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</si>
  <si>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</si>
  <si>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</si>
  <si>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</si>
  <si>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</si>
  <si>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</si>
  <si>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</si>
  <si>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</si>
  <si>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</si>
  <si>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</si>
  <si>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</si>
  <si>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</si>
  <si>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</si>
  <si>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</si>
  <si>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</si>
  <si>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</si>
  <si>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</si>
  <si>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</si>
  <si>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</si>
  <si>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</si>
  <si>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</si>
  <si>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</si>
  <si>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</si>
  <si>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</si>
  <si>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</si>
  <si>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</si>
  <si>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</si>
  <si>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</si>
  <si>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</si>
  <si>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</si>
  <si>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</si>
  <si>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</si>
  <si>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</si>
  <si>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</si>
  <si>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</si>
  <si>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</si>
  <si>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</si>
  <si>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</si>
  <si>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</si>
  <si>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</si>
  <si>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</si>
  <si>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</si>
  <si>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</si>
  <si>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</si>
  <si>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</si>
  <si>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</si>
  <si>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</si>
  <si>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</si>
  <si>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</si>
  <si>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</si>
  <si>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</si>
  <si>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</si>
  <si>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</si>
  <si>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</si>
  <si>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</si>
  <si>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</si>
  <si>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</si>
  <si>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</si>
  <si>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</si>
  <si>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</si>
  <si>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</si>
  <si>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</si>
  <si>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</si>
  <si>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</si>
  <si>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</si>
  <si>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</si>
  <si>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</si>
  <si>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</si>
  <si>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</si>
  <si>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</si>
  <si>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</si>
  <si>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</si>
  <si>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</si>
  <si>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</si>
  <si>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</si>
  <si>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</si>
  <si>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</si>
  <si>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</si>
  <si>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</si>
  <si>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</si>
  <si>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</si>
  <si>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</si>
  <si>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</si>
  <si>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</si>
  <si>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</si>
  <si>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</si>
  <si>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</si>
  <si>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</si>
  <si>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</si>
  <si>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</si>
  <si>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</si>
  <si>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</si>
  <si>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</si>
  <si>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</si>
  <si>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</si>
  <si>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</si>
  <si>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</si>
  <si>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</si>
  <si>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</si>
  <si>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</si>
  <si>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</si>
  <si>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</si>
  <si>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</si>
  <si>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</si>
  <si>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</si>
  <si>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</si>
  <si>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</si>
  <si>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</si>
  <si>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</si>
  <si>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</si>
  <si>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</si>
  <si>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</si>
  <si>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</si>
  <si>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</si>
  <si>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</si>
  <si>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</si>
  <si>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</si>
  <si>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</si>
  <si>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</si>
  <si>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</si>
  <si>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</si>
  <si>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</si>
  <si>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</si>
  <si>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</si>
  <si>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</si>
  <si>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</si>
  <si>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</si>
  <si>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</si>
  <si>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</si>
  <si>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</si>
  <si>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</si>
  <si>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</si>
  <si>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</si>
  <si>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</si>
  <si>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</si>
  <si>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</si>
  <si>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</si>
  <si>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</si>
  <si>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</si>
  <si>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</si>
  <si>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</si>
  <si>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</si>
  <si>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</si>
  <si>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</si>
  <si>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</si>
  <si>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</si>
  <si>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</si>
  <si>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</si>
  <si>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</si>
  <si>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</si>
  <si>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</si>
  <si>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</si>
  <si>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</si>
  <si>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</si>
  <si>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</si>
  <si>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</si>
  <si>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</si>
  <si>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</si>
  <si>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</si>
  <si>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</si>
  <si>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</si>
  <si>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</si>
  <si>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</si>
  <si>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</si>
  <si>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</si>
  <si>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</si>
  <si>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</si>
  <si>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</si>
  <si>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</si>
  <si>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</si>
  <si>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</si>
  <si>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</si>
  <si>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</si>
  <si>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</si>
  <si>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</si>
  <si>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</si>
  <si>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</si>
  <si>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</si>
  <si>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</si>
  <si>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</si>
  <si>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</si>
  <si>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</si>
  <si>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</si>
  <si>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</si>
  <si>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</si>
  <si>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</si>
  <si>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</si>
  <si>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</si>
  <si>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</si>
  <si>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</si>
  <si>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</si>
  <si>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</si>
  <si>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</si>
  <si>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</si>
  <si>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</si>
  <si>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</si>
  <si>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</si>
  <si>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</si>
  <si>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</si>
  <si>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</si>
  <si>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</si>
  <si>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</si>
  <si>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</si>
  <si>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</si>
  <si>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</si>
  <si>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</si>
  <si>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</si>
  <si>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</si>
  <si>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</si>
  <si>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</si>
  <si>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</si>
  <si>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</si>
  <si>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</si>
  <si>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</si>
  <si>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</si>
  <si>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</si>
  <si>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</si>
  <si>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</si>
  <si>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</si>
  <si>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</si>
  <si>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</si>
  <si>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</si>
  <si>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</si>
  <si>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</si>
  <si>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</si>
  <si>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</si>
  <si>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</si>
  <si>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</si>
  <si>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</si>
  <si>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</si>
  <si>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</si>
  <si>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</si>
  <si>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</si>
  <si>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</si>
  <si>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</si>
  <si>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</si>
  <si>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</si>
  <si>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</si>
  <si>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</si>
  <si>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</si>
  <si>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</si>
  <si>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</si>
  <si>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</si>
  <si>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</si>
  <si>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</si>
  <si>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</si>
  <si>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</si>
  <si>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</si>
  <si>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</si>
  <si>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</si>
  <si>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</si>
  <si>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</si>
  <si>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</si>
  <si>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</si>
  <si>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</si>
  <si>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</si>
  <si>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</si>
  <si>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</si>
  <si>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</si>
  <si>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</si>
  <si>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</si>
  <si>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</si>
  <si>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</si>
  <si>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</si>
  <si>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</si>
  <si>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</si>
  <si>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</si>
  <si>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</si>
  <si>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</si>
  <si>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</si>
  <si>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</si>
  <si>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</si>
  <si>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</si>
  <si>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</si>
  <si>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</si>
  <si>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</si>
  <si>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</si>
  <si>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</si>
  <si>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</si>
  <si>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</si>
  <si>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</si>
  <si>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</si>
  <si>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</si>
  <si>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</si>
  <si>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</si>
  <si>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</si>
  <si>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</si>
  <si>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</si>
  <si>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</si>
  <si>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</si>
  <si>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</si>
  <si>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</si>
  <si>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</si>
  <si>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</si>
  <si>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</si>
  <si>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</si>
  <si>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</si>
  <si>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</si>
  <si>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</si>
  <si>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</si>
  <si>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</si>
  <si>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</si>
  <si>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</si>
  <si>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</si>
  <si>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</si>
  <si>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</si>
  <si>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</si>
  <si>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</si>
  <si>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</si>
  <si>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</si>
  <si>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</si>
  <si>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</si>
  <si>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</si>
  <si>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</si>
  <si>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</si>
  <si>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</si>
  <si>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</si>
  <si>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</si>
  <si>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</si>
  <si>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</si>
  <si>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</si>
  <si>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</si>
  <si>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</si>
  <si>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</si>
  <si>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</si>
  <si>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</si>
  <si>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</si>
  <si>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</si>
  <si>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</si>
  <si>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</si>
  <si>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</si>
  <si>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</si>
  <si>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</si>
  <si>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</si>
  <si>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</si>
  <si>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</si>
  <si>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</si>
  <si>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</si>
  <si>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</si>
  <si>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</si>
  <si>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</si>
  <si>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</si>
  <si>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</si>
  <si>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</si>
  <si>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</si>
  <si>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</si>
  <si>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</si>
  <si>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</si>
  <si>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</si>
  <si>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</si>
  <si>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</si>
  <si>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</si>
  <si>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</si>
  <si>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</si>
  <si>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</si>
  <si>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</si>
  <si>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</si>
  <si>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</si>
  <si>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</si>
  <si>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</si>
  <si>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</si>
  <si>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</si>
  <si>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</si>
  <si>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</si>
  <si>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</si>
  <si>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</si>
  <si>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</si>
  <si>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</si>
  <si>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</si>
  <si>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</si>
  <si>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</si>
  <si>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</si>
  <si>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</si>
  <si>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</si>
  <si>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</si>
  <si>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</si>
  <si>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</si>
  <si>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</si>
  <si>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</si>
  <si>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</si>
  <si>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</si>
  <si>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</si>
  <si>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</si>
  <si>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</si>
  <si>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</si>
  <si>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</si>
  <si>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</si>
  <si>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</si>
  <si>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</si>
  <si>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</si>
  <si>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</si>
  <si>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</si>
  <si>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</si>
  <si>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</si>
  <si>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</si>
  <si>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</si>
  <si>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</si>
  <si>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</si>
  <si>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</si>
  <si>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</si>
  <si>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</si>
  <si>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</si>
  <si>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</si>
  <si>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</si>
  <si>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</si>
  <si>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</si>
  <si>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</si>
  <si>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</si>
  <si>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</si>
  <si>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</si>
  <si>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</si>
  <si>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</si>
  <si>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</si>
  <si>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</si>
  <si>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</si>
  <si>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</si>
  <si>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</si>
  <si>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</si>
  <si>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</si>
  <si>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</si>
  <si>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</si>
  <si>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</si>
  <si>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</si>
  <si>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</si>
  <si>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</si>
  <si>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</si>
  <si>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</si>
  <si>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</si>
  <si>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</si>
  <si>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</si>
  <si>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</si>
  <si>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</si>
  <si>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</si>
  <si>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</si>
  <si>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</si>
  <si>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</si>
  <si>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</si>
  <si>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</si>
  <si>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</si>
  <si>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</si>
  <si>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</si>
  <si>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</si>
  <si>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</si>
  <si>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</si>
  <si>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</si>
  <si>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</si>
  <si>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</si>
  <si>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</si>
  <si>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</si>
  <si>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</si>
  <si>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</si>
  <si>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</si>
  <si>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</si>
  <si>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</si>
  <si>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</si>
  <si>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</si>
  <si>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</si>
  <si>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</si>
  <si>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</si>
  <si>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</si>
  <si>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</si>
  <si>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</si>
  <si>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</si>
  <si>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</si>
  <si>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</si>
  <si>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</si>
  <si>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</si>
  <si>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</si>
  <si>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</si>
  <si>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</si>
  <si>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</si>
  <si>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</si>
  <si>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</si>
  <si>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</si>
  <si>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</si>
  <si>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</si>
  <si>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</si>
  <si>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</si>
  <si>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</si>
  <si>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</si>
  <si>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</si>
  <si>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</si>
  <si>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</si>
  <si>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</si>
  <si>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</si>
  <si>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</si>
  <si>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</si>
  <si>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</si>
  <si>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</si>
  <si>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</si>
  <si>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</si>
  <si>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</si>
  <si>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</si>
  <si>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</si>
  <si>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</si>
  <si>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</si>
  <si>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</si>
  <si>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</si>
  <si>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</si>
  <si>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</si>
  <si>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</si>
  <si>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</si>
  <si>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</si>
  <si>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</si>
  <si>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</si>
  <si>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</si>
  <si>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</si>
  <si>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</si>
  <si>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</si>
  <si>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</si>
  <si>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</si>
  <si>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</si>
  <si>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</si>
  <si>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</si>
  <si>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</si>
  <si>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</si>
  <si>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</si>
  <si>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</si>
  <si>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</si>
  <si>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</si>
  <si>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</si>
  <si>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</si>
  <si>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</si>
  <si>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</si>
  <si>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</si>
  <si>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</si>
  <si>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</si>
  <si>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</si>
  <si>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</si>
  <si>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</si>
  <si>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</si>
  <si>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</si>
  <si>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</si>
  <si>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</si>
  <si>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</si>
  <si>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</si>
  <si>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</si>
  <si>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</si>
  <si>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</si>
  <si>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</si>
  <si>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</si>
  <si>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</si>
  <si>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</si>
  <si>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</si>
  <si>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</si>
  <si>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</si>
  <si>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</si>
  <si>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</si>
  <si>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</si>
  <si>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</si>
  <si>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</si>
  <si>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</si>
  <si>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</si>
  <si>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</si>
  <si>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</si>
  <si>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</si>
  <si>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</si>
  <si>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</si>
  <si>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</si>
  <si>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</si>
  <si>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</si>
  <si>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</si>
  <si>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</si>
  <si>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</si>
  <si>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</si>
  <si>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</si>
  <si>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</si>
  <si>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</si>
  <si>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</si>
  <si>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</si>
  <si>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</si>
  <si>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</si>
  <si>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</si>
  <si>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</si>
  <si>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</si>
  <si>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</si>
  <si>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</si>
  <si>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</si>
  <si>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</si>
  <si>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</si>
  <si>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</si>
  <si>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</si>
  <si>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</si>
  <si>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</si>
  <si>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</si>
  <si>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</si>
  <si>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</si>
  <si>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</si>
  <si>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</si>
  <si>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</si>
  <si>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</si>
  <si>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</si>
  <si>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</si>
  <si>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</si>
  <si>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</si>
  <si>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</si>
  <si>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</si>
  <si>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</si>
  <si>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</si>
  <si>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</si>
  <si>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</si>
  <si>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</si>
  <si>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</si>
  <si>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</si>
  <si>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</si>
  <si>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</si>
  <si>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</si>
  <si>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</si>
  <si>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</si>
  <si>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</si>
  <si>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</si>
  <si>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</si>
  <si>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</si>
  <si>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</si>
  <si>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</si>
  <si>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</si>
  <si>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</si>
  <si>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</si>
  <si>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</si>
  <si>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</si>
  <si>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</si>
  <si>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</si>
  <si>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</si>
  <si>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</si>
  <si>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</si>
  <si>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</si>
  <si>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</si>
  <si>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</si>
  <si>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</si>
  <si>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</si>
  <si>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</si>
  <si>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</si>
  <si>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</si>
  <si>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</si>
  <si>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</si>
  <si>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</si>
  <si>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</si>
  <si>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</si>
  <si>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</si>
  <si>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</si>
  <si>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</si>
  <si>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</si>
  <si>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</si>
  <si>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</si>
  <si>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</si>
  <si>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</si>
  <si>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</si>
  <si>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</si>
  <si>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</si>
  <si>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</si>
  <si>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</si>
  <si>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</si>
  <si>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</si>
  <si>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</si>
  <si>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</si>
  <si>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</si>
  <si>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</si>
  <si>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</si>
  <si>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</si>
  <si>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</si>
  <si>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</si>
  <si>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</si>
  <si>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</si>
  <si>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</si>
  <si>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</si>
  <si>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</si>
  <si>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</si>
  <si>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</si>
  <si>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</si>
  <si>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</si>
  <si>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</si>
  <si>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</si>
  <si>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</si>
  <si>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</si>
  <si>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</si>
  <si>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</si>
  <si>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</si>
  <si>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</si>
  <si>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</si>
  <si>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</si>
  <si>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</si>
  <si>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</si>
  <si>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</si>
  <si>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</si>
  <si>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</si>
  <si>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</si>
  <si>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</si>
  <si>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</si>
  <si>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</si>
  <si>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</si>
  <si>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</si>
  <si>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</si>
  <si>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</si>
  <si>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</si>
  <si>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</si>
  <si>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</si>
  <si>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</si>
  <si>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</si>
  <si>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</si>
  <si>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</si>
  <si>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</si>
  <si>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</si>
  <si>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</si>
  <si>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</si>
  <si>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</si>
  <si>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</si>
  <si>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</si>
  <si>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</si>
  <si>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</si>
  <si>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</si>
  <si>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</si>
  <si>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</si>
  <si>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</si>
  <si>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</si>
  <si>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</si>
  <si>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</si>
  <si>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</si>
  <si>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</si>
  <si>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</si>
  <si>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</si>
  <si>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</si>
  <si>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</si>
  <si>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</si>
  <si>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</si>
  <si>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</si>
  <si>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</si>
  <si>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</si>
  <si>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</si>
  <si>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</si>
  <si>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</si>
  <si>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</si>
  <si>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</si>
  <si>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</si>
  <si>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</si>
  <si>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</si>
  <si>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</si>
  <si>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</si>
  <si>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</si>
  <si>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</si>
  <si>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</si>
  <si>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</si>
  <si>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</si>
  <si>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</si>
  <si>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</si>
  <si>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</si>
  <si>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</si>
  <si>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</si>
  <si>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</si>
  <si>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</si>
  <si>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</si>
  <si>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</si>
  <si>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</si>
  <si>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</si>
  <si>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</si>
  <si>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</si>
  <si>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</si>
  <si>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</si>
  <si>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</si>
  <si>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</si>
  <si>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</si>
  <si>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</si>
  <si>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</si>
  <si>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</si>
  <si>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</si>
  <si>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</si>
  <si>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</si>
  <si>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</si>
  <si>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</si>
  <si>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</si>
  <si>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</si>
  <si>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</si>
  <si>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</si>
  <si>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</si>
  <si>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</si>
  <si>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</si>
  <si>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</si>
  <si>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</si>
  <si>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</si>
  <si>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</si>
  <si>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</si>
  <si>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</si>
  <si>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</si>
  <si>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</si>
  <si>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</si>
  <si>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</si>
  <si>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</si>
  <si>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</si>
  <si>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</si>
  <si>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</si>
  <si>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</si>
  <si>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</si>
  <si>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</si>
  <si>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</si>
  <si>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</si>
  <si>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</si>
  <si>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</si>
  <si>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</si>
  <si>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</si>
  <si>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</si>
  <si>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</si>
  <si>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</si>
  <si>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</si>
  <si>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</si>
  <si>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</si>
  <si>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</si>
  <si>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</si>
  <si>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</si>
  <si>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</si>
  <si>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</si>
  <si>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</si>
  <si>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</si>
  <si>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</si>
  <si>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</si>
  <si>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</si>
  <si>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</si>
  <si>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</si>
  <si>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</si>
  <si>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</si>
  <si>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</si>
  <si>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</si>
  <si>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</si>
  <si>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</si>
  <si>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</si>
  <si>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</si>
  <si>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</si>
  <si>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</si>
  <si>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</si>
  <si>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</si>
  <si>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</si>
  <si>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</si>
  <si>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</si>
  <si>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</si>
  <si>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</si>
  <si>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</si>
  <si>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</si>
  <si>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</si>
  <si>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</si>
  <si>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</si>
  <si>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</si>
  <si>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</si>
  <si>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</si>
  <si>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</si>
  <si>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</si>
  <si>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</si>
  <si>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</si>
  <si>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</si>
  <si>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</si>
  <si>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</si>
  <si>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</si>
  <si>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</si>
  <si>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</si>
  <si>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</si>
  <si>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</si>
  <si>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</si>
  <si>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</si>
  <si>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</si>
  <si>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</si>
  <si>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</si>
  <si>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</si>
  <si>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</si>
  <si>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</si>
  <si>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</si>
  <si>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</si>
  <si>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</si>
  <si>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</si>
  <si>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</si>
  <si>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</si>
  <si>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</si>
  <si>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</si>
  <si>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</si>
  <si>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</si>
  <si>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</si>
  <si>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</si>
  <si>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</si>
  <si>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</si>
  <si>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</si>
  <si>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</si>
  <si>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</si>
  <si>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</si>
  <si>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</si>
  <si>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</si>
  <si>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</si>
  <si>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</si>
  <si>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</si>
  <si>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</si>
  <si>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</si>
  <si>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</si>
  <si>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</si>
  <si>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</si>
  <si>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</si>
  <si>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</si>
  <si>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</si>
  <si>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</si>
  <si>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</si>
  <si>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</si>
  <si>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</si>
  <si>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</si>
  <si>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</si>
  <si>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</si>
  <si>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</si>
  <si>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</si>
  <si>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</si>
  <si>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</si>
  <si>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</si>
  <si>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</si>
  <si>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</si>
  <si>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</si>
  <si>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</si>
  <si>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</si>
  <si>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</si>
  <si>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</si>
  <si>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</si>
  <si>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</si>
  <si>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</si>
  <si>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</si>
  <si>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</si>
  <si>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</si>
  <si>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</si>
  <si>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</si>
  <si>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</si>
  <si>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</si>
  <si>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</si>
  <si>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</si>
  <si>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</si>
  <si>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</si>
  <si>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</si>
  <si>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</si>
  <si>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</si>
  <si>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</si>
  <si>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</si>
  <si>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</si>
  <si>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</si>
  <si>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</si>
  <si>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</si>
  <si>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</si>
  <si>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</si>
  <si>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</si>
  <si>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</si>
  <si>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</si>
  <si>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</si>
  <si>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</si>
  <si>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</si>
  <si>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</si>
  <si>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</si>
  <si>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</si>
  <si>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</si>
  <si>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</si>
  <si>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</si>
  <si>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</si>
  <si>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</si>
  <si>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</si>
  <si>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</si>
  <si>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</si>
  <si>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</si>
  <si>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</si>
  <si>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</si>
  <si>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</si>
  <si>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</si>
  <si>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</si>
  <si>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</si>
  <si>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</si>
  <si>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</si>
  <si>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</si>
  <si>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</si>
  <si>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</si>
  <si>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</si>
  <si>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</si>
  <si>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</si>
  <si>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</si>
  <si>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</si>
  <si>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</si>
  <si>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</si>
  <si>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</si>
  <si>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</si>
  <si>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</si>
  <si>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</si>
  <si>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</si>
  <si>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</si>
  <si>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</si>
  <si>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</si>
  <si>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</si>
  <si>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</si>
  <si>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</si>
  <si>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</si>
  <si>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</si>
  <si>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</si>
  <si>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</si>
  <si>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</si>
  <si>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</si>
  <si>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</si>
  <si>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</si>
  <si>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</si>
  <si>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</si>
  <si>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</si>
  <si>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</si>
  <si>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</si>
  <si>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</si>
  <si>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</si>
  <si>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</si>
  <si>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</si>
  <si>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</si>
  <si>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</si>
  <si>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</si>
  <si>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</si>
  <si>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</si>
  <si>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</si>
  <si>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</si>
  <si>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</si>
  <si>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</si>
  <si>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</si>
  <si>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</si>
  <si>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</si>
  <si>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</si>
  <si>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</si>
  <si>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</si>
  <si>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</si>
  <si>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</si>
  <si>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</si>
  <si>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</si>
  <si>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</si>
  <si>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</si>
  <si>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</si>
  <si>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</si>
  <si>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</si>
  <si>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</si>
  <si>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</si>
  <si>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</si>
  <si>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</si>
  <si>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</si>
  <si>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</si>
  <si>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</si>
  <si>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</si>
  <si>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</si>
  <si>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</si>
  <si>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</si>
  <si>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</si>
  <si>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</si>
  <si>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</si>
  <si>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</si>
  <si>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</si>
  <si>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</si>
  <si>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</si>
  <si>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</si>
  <si>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</si>
  <si>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</si>
  <si>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</si>
  <si>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</si>
  <si>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</si>
  <si>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</si>
  <si>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</si>
  <si>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</si>
  <si>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</si>
  <si>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</si>
  <si>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</si>
  <si>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</si>
  <si>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</si>
  <si>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</si>
  <si>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</si>
  <si>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</si>
  <si>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</si>
  <si>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</si>
  <si>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</si>
  <si>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</si>
  <si>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</si>
  <si>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</si>
  <si>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</si>
  <si>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</si>
  <si>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</si>
  <si>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</si>
  <si>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</si>
  <si>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</si>
  <si>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</si>
  <si>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</si>
  <si>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</si>
  <si>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</si>
  <si>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</si>
  <si>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</si>
  <si>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</si>
  <si>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</si>
  <si>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</si>
  <si>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</si>
  <si>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</si>
  <si>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</si>
  <si>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</si>
  <si>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</si>
  <si>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</si>
  <si>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</si>
  <si>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</si>
  <si>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</si>
  <si>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</si>
  <si>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</si>
  <si>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</si>
  <si>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</si>
  <si>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</si>
  <si>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</si>
  <si>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</si>
  <si>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</si>
  <si>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</si>
  <si>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</si>
  <si>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</si>
  <si>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</si>
  <si>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</si>
  <si>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</si>
  <si>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</si>
  <si>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</si>
  <si>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</si>
  <si>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</si>
  <si>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</si>
  <si>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</si>
  <si>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</si>
  <si>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</si>
  <si>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</si>
  <si>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</si>
  <si>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</si>
  <si>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</si>
  <si>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</si>
  <si>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</si>
  <si>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</si>
  <si>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</si>
  <si>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</si>
  <si>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</si>
  <si>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</si>
  <si>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</si>
  <si>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</si>
  <si>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</si>
  <si>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</si>
  <si>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</si>
  <si>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</si>
  <si>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</si>
  <si>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</si>
  <si>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</si>
  <si>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</si>
  <si>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</si>
  <si>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</si>
  <si>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</si>
  <si>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</si>
  <si>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</si>
  <si>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</si>
  <si>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</si>
  <si>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</si>
  <si>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</si>
  <si>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</si>
  <si>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</si>
  <si>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</si>
  <si>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</si>
  <si>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</si>
  <si>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</si>
  <si>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</si>
  <si>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</si>
  <si>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</si>
  <si>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</si>
  <si>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</si>
  <si>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</si>
  <si>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</si>
  <si>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</si>
  <si>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</si>
  <si>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</si>
  <si>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</si>
  <si>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</si>
  <si>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</si>
  <si>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</si>
  <si>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</si>
  <si>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</si>
  <si>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</si>
  <si>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</si>
  <si>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</si>
  <si>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</si>
  <si>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</si>
  <si>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</si>
  <si>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</si>
  <si>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</si>
  <si>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</si>
  <si>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</si>
  <si>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</si>
  <si>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</si>
  <si>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</si>
  <si>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</si>
  <si>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</si>
  <si>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</si>
  <si>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</si>
  <si>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</si>
  <si>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</si>
  <si>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</si>
  <si>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</si>
  <si>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</si>
  <si>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</si>
  <si>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</si>
  <si>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</si>
  <si>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</si>
  <si>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</si>
  <si>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</si>
  <si>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</si>
  <si>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</si>
  <si>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</si>
  <si>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</si>
  <si>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</si>
  <si>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</si>
  <si>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</si>
  <si>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</si>
  <si>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</si>
  <si>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</si>
  <si>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</si>
  <si>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</si>
  <si>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</si>
  <si>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</si>
  <si>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</si>
  <si>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</si>
  <si>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</si>
  <si>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</si>
  <si>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</si>
  <si>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</si>
  <si>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</si>
  <si>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</si>
  <si>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</si>
  <si>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</si>
  <si>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</si>
  <si>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</si>
  <si>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</si>
  <si>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</si>
  <si>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</si>
  <si>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</si>
  <si>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</si>
  <si>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</si>
  <si>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</si>
  <si>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</si>
  <si>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</si>
  <si>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</si>
  <si>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</si>
  <si>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</si>
  <si>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</si>
  <si>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</si>
  <si>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</si>
  <si>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</si>
  <si>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</si>
  <si>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</si>
  <si>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</si>
  <si>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</si>
  <si>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</si>
  <si>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</si>
  <si>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</si>
  <si>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</si>
  <si>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</si>
  <si>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</si>
  <si>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</si>
  <si>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</si>
  <si>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</si>
  <si>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</si>
  <si>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</si>
  <si>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</si>
  <si>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</si>
  <si>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</si>
  <si>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</si>
  <si>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</si>
  <si>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</si>
  <si>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</si>
  <si>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</si>
  <si>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</si>
  <si>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</si>
  <si>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</si>
  <si>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</si>
  <si>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</si>
  <si>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</si>
  <si>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</si>
  <si>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</si>
  <si>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</si>
  <si>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</si>
  <si>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</si>
  <si>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</si>
  <si>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</si>
  <si>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</si>
  <si>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</si>
  <si>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</si>
  <si>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</si>
  <si>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</si>
  <si>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</si>
  <si>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</si>
  <si>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</si>
  <si>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</si>
  <si>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</si>
  <si>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</si>
  <si>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</si>
  <si>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</si>
  <si>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</si>
  <si>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</si>
  <si>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</si>
  <si>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</si>
  <si>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</si>
  <si>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</si>
  <si>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</si>
  <si>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</si>
  <si>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</si>
  <si>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</si>
  <si>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</si>
  <si>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</si>
  <si>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</si>
  <si>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</si>
  <si>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</si>
  <si>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</si>
  <si>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</si>
  <si>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</si>
  <si>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</si>
  <si>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</si>
  <si>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</si>
  <si>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</si>
  <si>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</si>
  <si>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</si>
  <si>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</si>
  <si>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</si>
  <si>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</si>
  <si>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</si>
  <si>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</si>
  <si>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</si>
  <si>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</si>
  <si>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</si>
  <si>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</si>
  <si>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</si>
  <si>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</si>
  <si>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</si>
  <si>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</si>
  <si>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</si>
  <si>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</si>
  <si>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</si>
  <si>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</si>
  <si>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</si>
  <si>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</si>
  <si>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</si>
  <si>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</si>
  <si>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</si>
  <si>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</si>
  <si>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</si>
  <si>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</si>
  <si>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</si>
  <si>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</si>
  <si>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</si>
  <si>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</si>
  <si>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</si>
  <si>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</si>
  <si>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</si>
  <si>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</si>
  <si>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</si>
  <si>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</si>
  <si>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</si>
  <si>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</si>
  <si>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</si>
  <si>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</si>
  <si>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</si>
  <si>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</si>
  <si>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</si>
  <si>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</si>
  <si>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</si>
  <si>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</si>
  <si>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</si>
  <si>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</si>
  <si>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</si>
  <si>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</si>
  <si>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</si>
  <si>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</si>
  <si>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</si>
  <si>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</si>
  <si>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</si>
  <si>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</si>
  <si>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</si>
  <si>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</si>
  <si>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</si>
  <si>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</si>
  <si>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</si>
  <si>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</si>
  <si>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</si>
  <si>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</si>
  <si>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</si>
  <si>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</si>
  <si>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</si>
  <si>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</si>
  <si>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</si>
  <si>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</si>
  <si>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</si>
  <si>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</si>
  <si>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</si>
  <si>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</si>
  <si>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</si>
  <si>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</si>
  <si>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</si>
  <si>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</si>
  <si>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</si>
  <si>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</si>
  <si>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</si>
  <si>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</si>
  <si>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</si>
  <si>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</si>
  <si>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</si>
  <si>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</si>
  <si>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</si>
  <si>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</si>
  <si>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</si>
  <si>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</si>
  <si>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</si>
  <si>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</si>
  <si>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</si>
  <si>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</si>
  <si>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</si>
  <si>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</si>
  <si>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</si>
  <si>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</si>
  <si>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</si>
  <si>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</si>
  <si>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</si>
  <si>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</si>
  <si>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</si>
  <si>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</si>
  <si>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</si>
  <si>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</si>
  <si>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</si>
  <si>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</si>
  <si>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</si>
  <si>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</si>
  <si>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</si>
  <si>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</si>
  <si>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</si>
  <si>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</si>
  <si>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</si>
  <si>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</si>
  <si>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</si>
  <si>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</si>
  <si>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</si>
  <si>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</si>
  <si>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</si>
  <si>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</si>
  <si>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</si>
  <si>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</si>
  <si>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</si>
  <si>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</si>
  <si>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</si>
  <si>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</si>
  <si>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</si>
  <si>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</si>
  <si>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</si>
  <si>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</si>
  <si>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</si>
  <si>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</si>
  <si>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</si>
  <si>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</si>
  <si>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</si>
  <si>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</si>
  <si>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</si>
  <si>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</si>
  <si>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</si>
  <si>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</si>
  <si>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</si>
  <si>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</si>
  <si>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</si>
  <si>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</si>
  <si>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</si>
  <si>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</si>
  <si>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</si>
  <si>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</si>
  <si>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</si>
  <si>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</si>
  <si>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</si>
  <si>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</si>
  <si>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</si>
  <si>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</si>
  <si>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</si>
  <si>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</si>
  <si>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</si>
  <si>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</si>
  <si>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</si>
  <si>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</si>
  <si>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</si>
  <si>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</si>
  <si>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</si>
  <si>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</si>
  <si>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</si>
  <si>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</si>
  <si>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</si>
  <si>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</si>
  <si>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</si>
  <si>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</si>
  <si>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</si>
  <si>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</si>
  <si>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</si>
  <si>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</si>
  <si>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</si>
  <si>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</si>
  <si>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</si>
  <si>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</si>
  <si>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</si>
  <si>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</si>
  <si>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</si>
  <si>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</si>
  <si>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</si>
  <si>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</si>
  <si>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</si>
  <si>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</si>
  <si>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</si>
  <si>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</si>
  <si>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</si>
  <si>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</si>
  <si>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</si>
  <si>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</si>
  <si>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</si>
  <si>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</si>
  <si>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</si>
  <si>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</si>
  <si>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</si>
  <si>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</si>
  <si>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</si>
  <si>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</si>
  <si>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</si>
  <si>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</si>
  <si>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</si>
  <si>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</si>
  <si>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</si>
  <si>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</si>
  <si>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</si>
  <si>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</si>
  <si>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</si>
  <si>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</si>
  <si>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</si>
  <si>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</si>
  <si>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</si>
  <si>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</si>
  <si>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</si>
  <si>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</si>
  <si>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</si>
  <si>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</si>
  <si>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</si>
  <si>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</si>
  <si>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</si>
  <si>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</si>
  <si>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</si>
  <si>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</si>
  <si>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</si>
  <si>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</si>
  <si>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</si>
  <si>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</si>
  <si>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</si>
  <si>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</si>
  <si>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</si>
  <si>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</si>
  <si>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</si>
  <si>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</si>
  <si>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</si>
  <si>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</si>
  <si>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</si>
  <si>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</si>
  <si>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</si>
  <si>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</si>
  <si>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</si>
  <si>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</si>
  <si>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</si>
  <si>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</si>
  <si>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</si>
  <si>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</si>
  <si>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</si>
  <si>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</si>
  <si>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</si>
  <si>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</si>
  <si>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</si>
  <si>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</si>
  <si>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</si>
  <si>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</si>
  <si>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</si>
  <si>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</si>
  <si>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</si>
  <si>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</si>
  <si>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</si>
  <si>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</si>
  <si>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</si>
  <si>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</si>
  <si>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</si>
  <si>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</si>
  <si>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</si>
  <si>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</si>
  <si>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</si>
  <si>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</si>
  <si>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</si>
  <si>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</si>
  <si>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</si>
  <si>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</si>
  <si>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</si>
  <si>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</si>
  <si>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</si>
  <si>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</si>
  <si>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</si>
  <si>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</si>
  <si>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</si>
  <si>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</si>
  <si>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</si>
  <si>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</si>
  <si>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</si>
  <si>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</si>
  <si>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</si>
  <si>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</si>
  <si>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</si>
  <si>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</si>
  <si>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</si>
  <si>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</si>
  <si>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</si>
  <si>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</si>
  <si>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</si>
  <si>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</si>
  <si>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</si>
  <si>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</si>
  <si>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</si>
  <si>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</si>
  <si>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</si>
  <si>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</si>
  <si>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</si>
  <si>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</si>
  <si>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</si>
  <si>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</si>
  <si>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</si>
  <si>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</si>
  <si>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</si>
  <si>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</si>
  <si>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</si>
  <si>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</si>
  <si>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</si>
  <si>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</si>
  <si>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</si>
  <si>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</si>
  <si>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</si>
  <si>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</si>
  <si>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</si>
  <si>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</si>
  <si>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</si>
  <si>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</si>
  <si>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</si>
  <si>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</si>
  <si>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</si>
  <si>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</si>
  <si>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</si>
  <si>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</si>
  <si>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</si>
  <si>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</si>
  <si>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</si>
  <si>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</si>
  <si>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</si>
  <si>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</si>
  <si>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</si>
  <si>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</si>
  <si>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</si>
  <si>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</si>
  <si>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</si>
  <si>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</si>
  <si>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</si>
  <si>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</si>
  <si>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</si>
  <si>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</si>
  <si>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</si>
  <si>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</si>
  <si>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</si>
  <si>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</si>
  <si>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</si>
  <si>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</si>
  <si>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</si>
  <si>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</si>
  <si>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Fernsteuergeräte Kurt Oelsch GmbH</t>
  </si>
  <si>
    <t>This CMRT is valid for Fernsteuergräte Kurt Oelsch GmbH</t>
  </si>
  <si>
    <t>DUNS-Nr. 328257654, Ust-IDNr. DE136684592</t>
  </si>
  <si>
    <t>Quality Management</t>
  </si>
  <si>
    <t>D-12347, Jahnstr. 68+70, Germany</t>
  </si>
  <si>
    <t>Olga Kozlova</t>
  </si>
  <si>
    <t>o.kozlova@fernsteuergeraete.de</t>
  </si>
  <si>
    <t>0049 30 6291 1</t>
  </si>
  <si>
    <t>Quality Manager</t>
  </si>
  <si>
    <t>Management of Fernsteuergeräte Kurt Oelsch GmbH</t>
  </si>
  <si>
    <t>info@fernsteuergeraete.de</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</si>
</sst>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2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o.kozlova@fernsteuergeraete.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info@fernsteuergeraete.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1"/>
      <c r="B2" s="35" t="s">
        <v>847</v>
      </c>
      <c r="C2" s="33"/>
      <c r="D2" s="199"/>
      <c r="E2" s="3"/>
      <c r="F2" s="33"/>
      <c r="G2" s="31"/>
    </row>
    <row r="3" spans="1:7">
      <c r="A3" s="361"/>
      <c r="B3" s="5" t="s">
        <v>839</v>
      </c>
      <c r="C3" s="6"/>
      <c r="D3" s="200"/>
      <c r="E3" s="3"/>
      <c r="F3" s="6"/>
      <c r="G3" s="31"/>
    </row>
    <row r="4" spans="1:7" ht="15.75">
      <c r="A4" s="361"/>
      <c r="B4" s="38" t="s">
        <v>849</v>
      </c>
      <c r="C4" s="7"/>
      <c r="D4" s="201"/>
      <c r="E4" s="3"/>
      <c r="F4" s="7"/>
      <c r="G4" s="31"/>
    </row>
    <row r="5" spans="1:7">
      <c r="A5" s="361"/>
      <c r="B5" s="37" t="s">
        <v>1040</v>
      </c>
      <c r="C5" s="4"/>
      <c r="D5" s="202"/>
      <c r="E5" s="3"/>
      <c r="F5" s="4"/>
      <c r="G5" s="31"/>
    </row>
    <row r="6" spans="1:7">
      <c r="A6" s="361"/>
      <c r="B6" s="8"/>
      <c r="C6" s="8"/>
      <c r="D6" s="203"/>
      <c r="E6" s="8"/>
      <c r="F6" s="8"/>
      <c r="G6" s="31"/>
    </row>
    <row r="7" spans="1:7">
      <c r="A7" s="361"/>
      <c r="B7" s="8"/>
      <c r="C7" s="8"/>
      <c r="D7" s="203"/>
      <c r="E7" s="8"/>
      <c r="F7" s="8"/>
      <c r="G7" s="31"/>
    </row>
    <row r="8" spans="1:7">
      <c r="A8" s="361"/>
      <c r="B8" s="8"/>
      <c r="C8" s="8"/>
      <c r="D8" s="203"/>
      <c r="E8" s="8"/>
      <c r="F8" s="8"/>
      <c r="G8" s="31"/>
    </row>
    <row r="9" spans="1:7">
      <c r="A9" s="361"/>
      <c r="B9" s="364" t="s">
        <v>850</v>
      </c>
      <c r="C9" s="364"/>
      <c r="D9" s="364"/>
      <c r="E9" s="364"/>
      <c r="F9" s="364"/>
      <c r="G9" s="31"/>
    </row>
    <row r="10" spans="1:7" ht="27" customHeight="1">
      <c r="A10" s="361"/>
      <c r="B10" s="365" t="s">
        <v>438</v>
      </c>
      <c r="C10" s="365"/>
      <c r="D10" s="365"/>
      <c r="E10" s="365"/>
      <c r="F10" s="365"/>
      <c r="G10" s="31"/>
    </row>
    <row r="11" spans="1:7" ht="27" customHeight="1">
      <c r="A11" s="361"/>
      <c r="B11" s="366"/>
      <c r="C11" s="366"/>
      <c r="D11" s="366"/>
      <c r="E11" s="366"/>
      <c r="F11" s="366"/>
      <c r="G11" s="31"/>
    </row>
    <row r="12" spans="1:7">
      <c r="A12" s="361"/>
      <c r="B12" s="39" t="s">
        <v>848</v>
      </c>
      <c r="C12" s="40" t="s">
        <v>851</v>
      </c>
      <c r="D12" s="204" t="s">
        <v>852</v>
      </c>
      <c r="E12" s="40" t="s">
        <v>612</v>
      </c>
      <c r="F12" s="40" t="s">
        <v>613</v>
      </c>
      <c r="G12" s="31"/>
    </row>
    <row r="13" spans="1:7" ht="33.75">
      <c r="A13" s="361"/>
      <c r="B13" s="2">
        <v>1</v>
      </c>
      <c r="C13" s="34" t="s">
        <v>1088</v>
      </c>
      <c r="D13" s="36" t="s">
        <v>876</v>
      </c>
      <c r="E13" s="187" t="s">
        <v>853</v>
      </c>
      <c r="F13" s="187"/>
      <c r="G13" s="31"/>
    </row>
    <row r="14" spans="1:7" ht="33.75">
      <c r="A14" s="361"/>
      <c r="B14" s="2">
        <v>2</v>
      </c>
      <c r="C14" s="34" t="s">
        <v>1088</v>
      </c>
      <c r="D14" s="36" t="s">
        <v>1025</v>
      </c>
      <c r="E14" s="187" t="s">
        <v>530</v>
      </c>
      <c r="F14" s="187" t="s">
        <v>531</v>
      </c>
      <c r="G14" s="31"/>
    </row>
    <row r="15" spans="1:7" ht="89.1" customHeight="1">
      <c r="A15" s="361"/>
      <c r="B15" s="367">
        <v>2.0099999999999998</v>
      </c>
      <c r="C15" s="358" t="s">
        <v>1088</v>
      </c>
      <c r="D15" s="370" t="s">
        <v>2263</v>
      </c>
      <c r="E15" s="188" t="s">
        <v>614</v>
      </c>
      <c r="F15" s="188" t="s">
        <v>617</v>
      </c>
      <c r="G15" s="31"/>
    </row>
    <row r="16" spans="1:7" ht="99" customHeight="1">
      <c r="A16" s="361"/>
      <c r="B16" s="368"/>
      <c r="C16" s="359"/>
      <c r="D16" s="371"/>
      <c r="E16" s="189"/>
      <c r="F16" s="189" t="s">
        <v>615</v>
      </c>
      <c r="G16" s="31"/>
    </row>
    <row r="17" spans="1:7" ht="63" customHeight="1">
      <c r="A17" s="361"/>
      <c r="B17" s="369"/>
      <c r="C17" s="360"/>
      <c r="D17" s="372"/>
      <c r="E17" s="34"/>
      <c r="F17" s="34" t="s">
        <v>616</v>
      </c>
      <c r="G17" s="31"/>
    </row>
    <row r="18" spans="1:7" ht="117" customHeight="1">
      <c r="A18" s="361"/>
      <c r="B18" s="367">
        <v>2.02</v>
      </c>
      <c r="C18" s="358" t="s">
        <v>1088</v>
      </c>
      <c r="D18" s="370" t="s">
        <v>2264</v>
      </c>
      <c r="E18" s="188" t="s">
        <v>439</v>
      </c>
      <c r="F18" s="188" t="s">
        <v>525</v>
      </c>
      <c r="G18" s="31"/>
    </row>
    <row r="19" spans="1:7" ht="71.099999999999994" customHeight="1">
      <c r="A19" s="361"/>
      <c r="B19" s="368"/>
      <c r="C19" s="359"/>
      <c r="D19" s="371"/>
      <c r="E19" s="189" t="s">
        <v>529</v>
      </c>
      <c r="F19" s="189" t="s">
        <v>440</v>
      </c>
      <c r="G19" s="31"/>
    </row>
    <row r="20" spans="1:7" ht="90.75" customHeight="1">
      <c r="A20" s="361"/>
      <c r="B20" s="368"/>
      <c r="C20" s="359"/>
      <c r="D20" s="371"/>
      <c r="E20" s="189"/>
      <c r="F20" s="189" t="s">
        <v>619</v>
      </c>
      <c r="G20" s="31"/>
    </row>
    <row r="21" spans="1:7" ht="74.25" customHeight="1">
      <c r="A21" s="361"/>
      <c r="B21" s="369"/>
      <c r="C21" s="360"/>
      <c r="D21" s="372"/>
      <c r="E21" s="34"/>
      <c r="F21" s="34" t="s">
        <v>618</v>
      </c>
      <c r="G21" s="31"/>
    </row>
    <row r="22" spans="1:7" ht="90" customHeight="1">
      <c r="A22" s="361"/>
      <c r="B22" s="376">
        <v>2.0299999999999998</v>
      </c>
      <c r="C22" s="376" t="s">
        <v>822</v>
      </c>
      <c r="D22" s="355" t="s">
        <v>2265</v>
      </c>
      <c r="E22" s="358" t="s">
        <v>437</v>
      </c>
      <c r="F22" s="188" t="s">
        <v>460</v>
      </c>
      <c r="G22" s="31"/>
    </row>
    <row r="23" spans="1:7" ht="109.5" customHeight="1">
      <c r="A23" s="361"/>
      <c r="B23" s="377"/>
      <c r="C23" s="377"/>
      <c r="D23" s="356"/>
      <c r="E23" s="359"/>
      <c r="F23" s="189" t="s">
        <v>823</v>
      </c>
      <c r="G23" s="31"/>
    </row>
    <row r="24" spans="1:7" ht="74.25" customHeight="1">
      <c r="A24" s="361"/>
      <c r="B24" s="378"/>
      <c r="C24" s="378"/>
      <c r="D24" s="357"/>
      <c r="E24" s="360"/>
      <c r="F24" s="34" t="s">
        <v>436</v>
      </c>
      <c r="G24" s="31"/>
    </row>
    <row r="25" spans="1:7" ht="72" customHeight="1">
      <c r="A25" s="361"/>
      <c r="B25" s="2" t="s">
        <v>458</v>
      </c>
      <c r="C25" s="34" t="s">
        <v>459</v>
      </c>
      <c r="D25" s="36" t="s">
        <v>2266</v>
      </c>
      <c r="E25" s="34" t="s">
        <v>2261</v>
      </c>
      <c r="F25" s="34" t="s">
        <v>461</v>
      </c>
      <c r="G25" s="31"/>
    </row>
    <row r="26" spans="1:7" ht="98.1" customHeight="1">
      <c r="A26" s="361"/>
      <c r="B26" s="373">
        <v>3</v>
      </c>
      <c r="C26" s="367" t="s">
        <v>70</v>
      </c>
      <c r="D26" s="370" t="s">
        <v>2267</v>
      </c>
      <c r="E26" s="358" t="s">
        <v>0</v>
      </c>
      <c r="F26" s="188" t="s">
        <v>64</v>
      </c>
      <c r="G26" s="31"/>
    </row>
    <row r="27" spans="1:7" ht="90" customHeight="1">
      <c r="A27" s="361"/>
      <c r="B27" s="374"/>
      <c r="C27" s="368"/>
      <c r="D27" s="371"/>
      <c r="E27" s="359"/>
      <c r="F27" s="189" t="s">
        <v>59</v>
      </c>
      <c r="G27" s="31"/>
    </row>
    <row r="28" spans="1:7" ht="19.350000000000001" customHeight="1">
      <c r="A28" s="361"/>
      <c r="B28" s="374"/>
      <c r="C28" s="368"/>
      <c r="D28" s="371"/>
      <c r="E28" s="359"/>
      <c r="F28" s="189" t="s">
        <v>60</v>
      </c>
      <c r="G28" s="31"/>
    </row>
    <row r="29" spans="1:7" ht="74.650000000000006" customHeight="1">
      <c r="A29" s="361"/>
      <c r="B29" s="374"/>
      <c r="C29" s="368"/>
      <c r="D29" s="371"/>
      <c r="E29" s="359"/>
      <c r="F29" s="189" t="s">
        <v>61</v>
      </c>
      <c r="G29" s="31"/>
    </row>
    <row r="30" spans="1:7" ht="62.65" customHeight="1">
      <c r="A30" s="361"/>
      <c r="B30" s="374"/>
      <c r="C30" s="368"/>
      <c r="D30" s="371"/>
      <c r="E30" s="359"/>
      <c r="F30" s="189" t="s">
        <v>62</v>
      </c>
      <c r="G30" s="31"/>
    </row>
    <row r="31" spans="1:7" ht="81" customHeight="1">
      <c r="A31" s="361"/>
      <c r="B31" s="374"/>
      <c r="C31" s="368"/>
      <c r="D31" s="371"/>
      <c r="E31" s="359"/>
      <c r="F31" s="189" t="s">
        <v>63</v>
      </c>
      <c r="G31" s="31"/>
    </row>
    <row r="32" spans="1:7" ht="48.75" customHeight="1">
      <c r="A32" s="361"/>
      <c r="B32" s="374"/>
      <c r="C32" s="368"/>
      <c r="D32" s="371"/>
      <c r="E32" s="359"/>
      <c r="F32" s="189" t="s">
        <v>66</v>
      </c>
      <c r="G32" s="31"/>
    </row>
    <row r="33" spans="1:7" ht="98.65" customHeight="1">
      <c r="A33" s="361"/>
      <c r="B33" s="374"/>
      <c r="C33" s="368"/>
      <c r="D33" s="371"/>
      <c r="E33" s="359"/>
      <c r="F33" s="189" t="s">
        <v>65</v>
      </c>
      <c r="G33" s="31"/>
    </row>
    <row r="34" spans="1:7" ht="89.1" customHeight="1">
      <c r="A34" s="361"/>
      <c r="B34" s="374"/>
      <c r="C34" s="368"/>
      <c r="D34" s="371"/>
      <c r="E34" s="359"/>
      <c r="F34" s="189" t="s">
        <v>67</v>
      </c>
      <c r="G34" s="31"/>
    </row>
    <row r="35" spans="1:7" ht="29.1" customHeight="1">
      <c r="A35" s="361"/>
      <c r="B35" s="374"/>
      <c r="C35" s="368"/>
      <c r="D35" s="371"/>
      <c r="E35" s="359"/>
      <c r="F35" s="189" t="s">
        <v>68</v>
      </c>
      <c r="G35" s="31"/>
    </row>
    <row r="36" spans="1:7" ht="126.75">
      <c r="A36" s="361"/>
      <c r="B36" s="375"/>
      <c r="C36" s="369"/>
      <c r="D36" s="372"/>
      <c r="E36" s="360"/>
      <c r="F36" s="190" t="s">
        <v>69</v>
      </c>
      <c r="G36" s="31"/>
    </row>
    <row r="37" spans="1:7" ht="112.5">
      <c r="A37" s="361"/>
      <c r="B37" s="163">
        <v>3.01</v>
      </c>
      <c r="C37" s="164" t="s">
        <v>70</v>
      </c>
      <c r="D37" s="36" t="s">
        <v>2268</v>
      </c>
      <c r="E37" s="191" t="s">
        <v>1328</v>
      </c>
      <c r="F37" s="192" t="s">
        <v>1434</v>
      </c>
      <c r="G37" s="31"/>
    </row>
    <row r="38" spans="1:7" ht="101.25">
      <c r="A38" s="361"/>
      <c r="B38" s="163">
        <v>3.02</v>
      </c>
      <c r="C38" s="164" t="s">
        <v>1361</v>
      </c>
      <c r="D38" s="36" t="s">
        <v>2269</v>
      </c>
      <c r="E38" s="191" t="s">
        <v>1376</v>
      </c>
      <c r="F38" s="192" t="s">
        <v>1435</v>
      </c>
      <c r="G38" s="31"/>
    </row>
    <row r="39" spans="1:7" ht="101.25">
      <c r="A39" s="361"/>
      <c r="B39" s="173">
        <v>4</v>
      </c>
      <c r="C39" s="172" t="s">
        <v>1531</v>
      </c>
      <c r="D39" s="36" t="s">
        <v>2270</v>
      </c>
      <c r="E39" s="34" t="s">
        <v>2213</v>
      </c>
      <c r="F39" s="34" t="s">
        <v>1532</v>
      </c>
      <c r="G39" s="31"/>
    </row>
    <row r="40" spans="1:7" ht="56.25">
      <c r="A40" s="361"/>
      <c r="B40" s="163">
        <v>4.01</v>
      </c>
      <c r="C40" s="172" t="s">
        <v>1531</v>
      </c>
      <c r="D40" s="36" t="s">
        <v>2272</v>
      </c>
      <c r="E40" s="34" t="s">
        <v>2227</v>
      </c>
      <c r="F40" s="34" t="s">
        <v>2231</v>
      </c>
      <c r="G40" s="31"/>
    </row>
    <row r="41" spans="1:7" ht="56.25">
      <c r="A41" s="361"/>
      <c r="B41" s="163" t="s">
        <v>2259</v>
      </c>
      <c r="C41" s="172" t="s">
        <v>1531</v>
      </c>
      <c r="D41" s="36" t="s">
        <v>2271</v>
      </c>
      <c r="E41" s="34" t="s">
        <v>2262</v>
      </c>
      <c r="F41" s="34" t="s">
        <v>2260</v>
      </c>
      <c r="G41" s="31"/>
    </row>
    <row r="42" spans="1:7" ht="56.25">
      <c r="A42" s="361"/>
      <c r="B42" s="163" t="s">
        <v>2295</v>
      </c>
      <c r="C42" s="172" t="s">
        <v>1531</v>
      </c>
      <c r="D42" s="36" t="s">
        <v>2302</v>
      </c>
      <c r="E42" s="34" t="s">
        <v>2261</v>
      </c>
      <c r="F42" s="34" t="s">
        <v>2296</v>
      </c>
      <c r="G42" s="31"/>
    </row>
    <row r="43" spans="1:7" ht="123.75">
      <c r="A43" s="361"/>
      <c r="B43" s="184">
        <v>4.0999999999999996</v>
      </c>
      <c r="C43" s="172" t="s">
        <v>2301</v>
      </c>
      <c r="D43" s="185">
        <v>42867</v>
      </c>
      <c r="E43" s="193" t="s">
        <v>2304</v>
      </c>
      <c r="F43" s="34" t="s">
        <v>2303</v>
      </c>
      <c r="G43" s="31"/>
    </row>
    <row r="44" spans="1:7" ht="78.75">
      <c r="A44" s="361"/>
      <c r="B44" s="184">
        <v>4.2</v>
      </c>
      <c r="C44" s="172" t="s">
        <v>2301</v>
      </c>
      <c r="D44" s="185">
        <v>42704</v>
      </c>
      <c r="E44" s="193" t="s">
        <v>2503</v>
      </c>
      <c r="F44" s="34" t="s">
        <v>2478</v>
      </c>
      <c r="G44" s="31"/>
    </row>
    <row r="45" spans="1:7" ht="157.5">
      <c r="A45" s="361"/>
      <c r="B45" s="233">
        <v>5</v>
      </c>
      <c r="C45" s="172" t="s">
        <v>2301</v>
      </c>
      <c r="D45" s="185">
        <v>42867</v>
      </c>
      <c r="E45" s="193" t="s">
        <v>12784</v>
      </c>
      <c r="F45" s="34" t="s">
        <v>12506</v>
      </c>
      <c r="G45" s="31"/>
    </row>
    <row r="46" spans="1:7" ht="45">
      <c r="A46" s="361"/>
      <c r="B46" s="184">
        <v>5.01</v>
      </c>
      <c r="C46" s="172" t="s">
        <v>2301</v>
      </c>
      <c r="D46" s="185">
        <v>42907</v>
      </c>
      <c r="E46" s="193" t="s">
        <v>15650</v>
      </c>
      <c r="F46" s="34" t="s">
        <v>12506</v>
      </c>
      <c r="G46" s="31"/>
    </row>
    <row r="47" spans="1:7" ht="67.5">
      <c r="A47" s="361"/>
      <c r="B47" s="184">
        <v>5.0999999999999996</v>
      </c>
      <c r="C47" s="172" t="s">
        <v>2301</v>
      </c>
      <c r="D47" s="185">
        <v>43070</v>
      </c>
      <c r="E47" s="193" t="s">
        <v>12994</v>
      </c>
      <c r="F47" s="34" t="s">
        <v>12995</v>
      </c>
      <c r="G47" s="31"/>
    </row>
    <row r="48" spans="1:7" ht="56.25">
      <c r="A48" s="361"/>
      <c r="B48" s="184">
        <v>5.1100000000000003</v>
      </c>
      <c r="C48" s="172" t="s">
        <v>13232</v>
      </c>
      <c r="D48" s="185">
        <v>43217</v>
      </c>
      <c r="E48" s="193" t="s">
        <v>13358</v>
      </c>
      <c r="F48" s="34" t="s">
        <v>13266</v>
      </c>
      <c r="G48" s="31"/>
    </row>
    <row r="49" spans="1:7" ht="56.25">
      <c r="A49" s="361"/>
      <c r="B49" s="184">
        <v>5.12</v>
      </c>
      <c r="C49" s="172" t="s">
        <v>13232</v>
      </c>
      <c r="D49" s="185">
        <v>43581</v>
      </c>
      <c r="E49" s="193" t="s">
        <v>13358</v>
      </c>
      <c r="F49" s="34" t="s">
        <v>13920</v>
      </c>
      <c r="G49" s="31"/>
    </row>
    <row r="50" spans="1:7" ht="78.75">
      <c r="A50" s="361"/>
      <c r="B50" s="233">
        <v>6</v>
      </c>
      <c r="C50" s="172" t="s">
        <v>13232</v>
      </c>
      <c r="D50" s="185">
        <v>43964</v>
      </c>
      <c r="E50" s="193" t="s">
        <v>14138</v>
      </c>
      <c r="F50" s="34" t="s">
        <v>13925</v>
      </c>
      <c r="G50" s="31"/>
    </row>
    <row r="51" spans="1:7" ht="45">
      <c r="A51" s="361"/>
      <c r="B51" s="184">
        <v>6.01</v>
      </c>
      <c r="C51" s="172" t="s">
        <v>13232</v>
      </c>
      <c r="D51" s="185">
        <v>43970</v>
      </c>
      <c r="E51" s="193" t="s">
        <v>15651</v>
      </c>
      <c r="F51" s="193" t="s">
        <v>13925</v>
      </c>
      <c r="G51" s="31"/>
    </row>
    <row r="52" spans="1:7" ht="45">
      <c r="A52" s="361"/>
      <c r="B52" s="184">
        <v>6.1</v>
      </c>
      <c r="C52" s="172" t="s">
        <v>13232</v>
      </c>
      <c r="D52" s="185">
        <v>44314</v>
      </c>
      <c r="E52" s="193" t="s">
        <v>15631</v>
      </c>
      <c r="F52" s="193" t="s">
        <v>15144</v>
      </c>
      <c r="G52" s="31"/>
    </row>
    <row r="53" spans="1:7" ht="45">
      <c r="A53" s="361"/>
      <c r="B53" s="184">
        <v>6.2</v>
      </c>
      <c r="C53" s="172" t="s">
        <v>13232</v>
      </c>
      <c r="D53" s="185">
        <v>44678</v>
      </c>
      <c r="E53" s="193" t="s">
        <v>15631</v>
      </c>
      <c r="F53" s="193" t="s">
        <v>15624</v>
      </c>
      <c r="G53" s="31"/>
    </row>
    <row r="54" spans="1:7" ht="45">
      <c r="A54" s="361"/>
      <c r="B54" s="184">
        <v>6.21</v>
      </c>
      <c r="C54" s="172" t="s">
        <v>13232</v>
      </c>
      <c r="D54" s="185">
        <v>44687</v>
      </c>
      <c r="E54" s="193" t="s">
        <v>15652</v>
      </c>
      <c r="F54" s="193" t="s">
        <v>15624</v>
      </c>
      <c r="G54" s="31"/>
    </row>
    <row r="55" spans="1:7" ht="45">
      <c r="A55" s="361"/>
      <c r="B55" s="184">
        <v>6.22</v>
      </c>
      <c r="C55" s="172" t="s">
        <v>13232</v>
      </c>
      <c r="D55" s="347">
        <v>44692</v>
      </c>
      <c r="E55" s="193" t="s">
        <v>15651</v>
      </c>
      <c r="F55" s="193" t="s">
        <v>15624</v>
      </c>
      <c r="G55" s="31"/>
    </row>
    <row r="56" spans="1:7" ht="13.5" thickBot="1">
      <c r="A56" s="362"/>
      <c r="B56" s="363" t="str">
        <f ca="1">OFFSET(L!$C$1,MATCH("General"&amp;"Cpy",L!$A:$A,0)-1,SL,,)</f>
        <v>© 2022 Responsible Minerals Initiative. All rights reserved.</v>
      </c>
      <c r="C56" s="363"/>
      <c r="D56" s="363"/>
      <c r="E56" s="363"/>
      <c r="F56" s="363"/>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Schulung und Beratung, Vorlagen, Responsible Minerals Assurance Process, konforme Schmelzhütten Liste</v>
      </c>
      <c r="B1" s="111" t="s">
        <v>442</v>
      </c>
    </row>
    <row r="2" spans="1:2" ht="30">
      <c r="A2" s="118" t="str">
        <f ca="1">OFFSET(L!$C$1,MATCH("Instructions"&amp;ADDRESS(ROW(),COLUMN(),4),L!$A:$A,0)-1,SL,,)</f>
        <v>Einführung</v>
      </c>
      <c r="B2" s="111" t="s">
        <v>1304</v>
      </c>
    </row>
    <row r="3" spans="1:2" ht="180">
      <c r="A3" s="115"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11" t="s">
        <v>1305</v>
      </c>
    </row>
    <row r="4" spans="1:2" ht="222.6" customHeight="1">
      <c r="A4" s="115"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11" t="s">
        <v>1311</v>
      </c>
    </row>
    <row r="5" spans="1:2" ht="15">
      <c r="A5" s="119"/>
      <c r="B5" s="111"/>
    </row>
    <row r="6" spans="1:2" ht="30">
      <c r="A6" s="118" t="str">
        <f ca="1">OFFSET(L!$C$1,MATCH("Instructions"&amp;ADDRESS(ROW(),COLUMN(),4),L!$A:$A,0)-1,SL,,)</f>
        <v>Anleitung zum Ausfüllen von Informationen zu Unternehmen (Zeilen 8 - 22).  Die Kommentare nur in englischer Sprache.</v>
      </c>
      <c r="B6" s="111" t="s">
        <v>1304</v>
      </c>
    </row>
    <row r="7" spans="1:2" ht="15">
      <c r="A7" s="281" t="str">
        <f ca="1">OFFSET(L!$C$1,MATCH("Instructions"&amp;ADDRESS(ROW(),COLUMN(),4),L!$A:$A,0)-1,SL,,)</f>
        <v>Hinweis: Eingaben mit (*) sind Pflichtfelder</v>
      </c>
      <c r="B7" s="111"/>
    </row>
    <row r="8" spans="1:2" ht="30">
      <c r="A8" s="115" t="str">
        <f ca="1">OFFSET(L!$C$1,MATCH("Instructions"&amp;ADDRESS(ROW(),COLUMN(),4),L!$A:$A,0)-1,SL,,)</f>
        <v>1. Geben Sie hier den rechtmäßigen Firmennamen Ihres Unternehmens ein. Bitte verwenden Sie keine Abkürzungen. In diesem Feld haben Sie die Möglichkeit, weitere Geschäftsnamen, DBAs usw. hinzuzufügen.</v>
      </c>
      <c r="B8" s="111"/>
    </row>
    <row r="9" spans="1:2" ht="405.6" customHeight="1">
      <c r="A9" s="168"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1" t="s">
        <v>1303</v>
      </c>
    </row>
    <row r="10" spans="1:2" ht="36" customHeight="1">
      <c r="A10" s="115" t="str">
        <f ca="1">OFFSET(L!$C$1,MATCH("Instructions"&amp;ADDRESS(ROW(),COLUMN(),4),L!$A:$A,0)-1,SL,,)</f>
        <v>3.Geben sie ihre eindeutige Firmenidentifikationsnummer (DUNS Nummer, Steuernummer, Kunden-spezifische Kennung, etc.) ein</v>
      </c>
      <c r="B10" s="111"/>
    </row>
    <row r="11" spans="1:2" ht="35.25" customHeight="1">
      <c r="A11" s="115" t="str">
        <f ca="1">OFFSET(L!$C$1,MATCH("Instructions"&amp;ADDRESS(ROW(),COLUMN(),4),L!$A:$A,0)-1,SL,,)</f>
        <v>4. Geben Sie die Quelle für die eindeutige Kennung oder Code ( "DUNS",  "MWST","Kunde", etc. ) an.</v>
      </c>
      <c r="B11" s="111"/>
    </row>
    <row r="12" spans="1:2" ht="30">
      <c r="A12" s="115" t="str">
        <f ca="1">OFFSET(L!$C$1,MATCH("Instructions"&amp;ADDRESS(ROW(),COLUMN(),4),L!$A:$A,0)-1,SL,,)</f>
        <v>5. Geben Sie Ihre vollständige Firmenanschrift an (Straße, Stadt, Postleitzahl,  Bundesland).  Dieses Feld ist optional.</v>
      </c>
      <c r="B12" s="111" t="s">
        <v>1304</v>
      </c>
    </row>
    <row r="13" spans="1:2" ht="33.75" customHeight="1">
      <c r="A13" s="115" t="str">
        <f ca="1">OFFSET(L!$C$1,MATCH("Instructions"&amp;ADDRESS(ROW(),COLUMN(),4),L!$A:$A,0)-1,SL,,)</f>
        <v>6. Geben Sie den Namen der Kontaktperson zum Inhalt der Erklärung an. Dies ist ein obligatorisches Feld.</v>
      </c>
      <c r="B13" s="111"/>
    </row>
    <row r="14" spans="1:2" ht="45">
      <c r="A14" s="115"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1"/>
    </row>
    <row r="15" spans="1:2" ht="25.5" customHeight="1">
      <c r="A15" s="115" t="str">
        <f ca="1">OFFSET(L!$C$1,MATCH("Instructions"&amp;ADDRESS(ROW(),COLUMN(),4),L!$A:$A,0)-1,SL,,)</f>
        <v>8. Geben Sie die Telefonnummer des Kontakts an. Dies ist ein obligatorisches Feld.</v>
      </c>
      <c r="B15" s="111"/>
    </row>
    <row r="16" spans="1:2" ht="45">
      <c r="A16" s="115"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1"/>
    </row>
    <row r="17" spans="1:2" ht="15">
      <c r="A17" s="115" t="str">
        <f ca="1">OFFSET(L!$C$1,MATCH("Instructions"&amp;ADDRESS(ROW(),COLUMN(),4),L!$A:$A,0)-1,SL,,)</f>
        <v>10. Geben Sie den Titel für den Namen des Bevollmächtigten an. Dieses Feld ist optional.</v>
      </c>
      <c r="B17" s="111"/>
    </row>
    <row r="18" spans="1:2" ht="45">
      <c r="A18" s="115"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1"/>
    </row>
    <row r="19" spans="1:2" ht="15">
      <c r="A19" s="115" t="str">
        <f ca="1">OFFSET(L!$C$1,MATCH("Instructions"&amp;ADDRESS(ROW(),COLUMN(),4),L!$A:$A,0)-1,SL,,)</f>
        <v>12. Fügen Sie die Telefonnummer der freigabeberechtigten Person ein. Das Ausfüllen dieses Feldes ist freiwillig.</v>
      </c>
      <c r="B19" s="111"/>
    </row>
    <row r="20" spans="1:2" ht="33.75" customHeight="1">
      <c r="A20" s="115" t="str">
        <f ca="1">OFFSET(L!$C$1,MATCH("Instructions"&amp;ADDRESS(ROW(),COLUMN(),4),L!$A:$A,0)-1,SL,,)</f>
        <v>13. Bitte geben Sie das Datum der Fertigstellung für dieses Formblatt mit dem Format TT-MMM-JJJJ ein. Dies ist ein obligatorisches Feld.</v>
      </c>
      <c r="B20" s="111"/>
    </row>
    <row r="21" spans="1:2" ht="30">
      <c r="A21" s="115" t="str">
        <f ca="1">OFFSET(L!$C$1,MATCH("Instructions"&amp;ADDRESS(ROW(),COLUMN(),4),L!$A:$A,0)-1,SL,,)</f>
        <v>14. Zum Beispiel kann der Benutzer die Datei unter dem Namen speichern: companyname-datum.xls (Datum im Format JJJJ-MM-TT).</v>
      </c>
      <c r="B21" s="111" t="s">
        <v>1304</v>
      </c>
    </row>
    <row r="22" spans="1:2" ht="15">
      <c r="A22" s="119"/>
      <c r="B22" s="111"/>
    </row>
    <row r="23" spans="1:2" ht="30">
      <c r="A23" s="118" t="str">
        <f ca="1">OFFSET(L!$C$1,MATCH("Instructions"&amp;ADDRESS(ROW(),COLUMN(),4),L!$A:$A,0)-1,SL,,)</f>
        <v>Anweisungen zum Ausfüllen der acht Fragen zur Sorgfaltsprüfung (Zeilen 24 - 71).
Bitte geben Sie Ihre Antworten nur auf ENGLISCH</v>
      </c>
      <c r="B23" s="111" t="s">
        <v>1304</v>
      </c>
    </row>
    <row r="24" spans="1:2" ht="80.650000000000006" customHeight="1">
      <c r="A24" s="115"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1" t="s">
        <v>1307</v>
      </c>
    </row>
    <row r="25" spans="1:2" ht="72" customHeight="1">
      <c r="A25" s="115"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11" t="s">
        <v>1304</v>
      </c>
    </row>
    <row r="26" spans="1:2" ht="280.89999999999998" customHeight="1">
      <c r="A26" s="115"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1" t="s">
        <v>1304</v>
      </c>
    </row>
    <row r="27" spans="1:2" ht="30">
      <c r="A27" s="115" t="str">
        <f ca="1">OFFSET(L!$C$1,MATCH("Instructions"&amp;ADDRESS(ROW(),COLUMN(),4),L!$A:$A,0)-1,SL,,)</f>
        <v>Manche Unternehmen benötigen eine Begründung für eine "Nein" -Antwort im Kommentarfeld</v>
      </c>
      <c r="B27" s="111" t="s">
        <v>1304</v>
      </c>
    </row>
    <row r="28" spans="1:2" ht="247.5" customHeight="1">
      <c r="A28" s="115"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1"/>
    </row>
    <row r="29" spans="1:2" ht="157.15" customHeight="1">
      <c r="A29" s="115"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11" t="s">
        <v>1304</v>
      </c>
    </row>
    <row r="30" spans="1:2" ht="181.9" customHeight="1">
      <c r="A30" s="115"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11"/>
    </row>
    <row r="31" spans="1:2" ht="150">
      <c r="A31" s="115"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11" t="s">
        <v>1304</v>
      </c>
    </row>
    <row r="32" spans="1:2" ht="234.6" customHeight="1">
      <c r="A32" s="115"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11" t="s">
        <v>1307</v>
      </c>
    </row>
    <row r="33" spans="1:2" ht="60">
      <c r="A33" s="115"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11"/>
    </row>
    <row r="34" spans="1:2" ht="60">
      <c r="A34" s="115"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11" t="s">
        <v>1304</v>
      </c>
    </row>
    <row r="35" spans="1:2" ht="21" customHeight="1">
      <c r="A35" s="115" t="str">
        <f ca="1">OFFSET(L!$C$1,MATCH("Instructions"&amp;ADDRESS(ROW(),COLUMN(),4),L!$A:$A,0)-1,SL,,)</f>
        <v>Geben Sie, falls notwendig, Anmerkungen im Kommentarbereich ein, die für eine Klarstellung ihrer Antwort hilfreich sind.</v>
      </c>
      <c r="B35" s="111"/>
    </row>
    <row r="36" spans="1:2" ht="15">
      <c r="A36" s="119"/>
      <c r="B36" s="111"/>
    </row>
    <row r="37" spans="1:2" ht="45">
      <c r="A37" s="118"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11" t="s">
        <v>1304</v>
      </c>
    </row>
    <row r="38" spans="1:2" ht="135">
      <c r="A38" s="115"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11" t="s">
        <v>1306</v>
      </c>
    </row>
    <row r="39" spans="1:2" ht="60">
      <c r="A39" s="115"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11"/>
    </row>
    <row r="40" spans="1:2" ht="65.650000000000006" customHeight="1">
      <c r="A40" s="115"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11"/>
    </row>
    <row r="41" spans="1:2" ht="75">
      <c r="A41" s="115"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11" t="s">
        <v>1309</v>
      </c>
    </row>
    <row r="42" spans="1:2" ht="210">
      <c r="A42" s="115"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11" t="s">
        <v>1307</v>
      </c>
    </row>
    <row r="43" spans="1:2" ht="165">
      <c r="A43" s="115"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1" t="s">
        <v>1308</v>
      </c>
    </row>
    <row r="44" spans="1:2" ht="135">
      <c r="A44" s="115"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1" t="s">
        <v>1304</v>
      </c>
    </row>
    <row r="45" spans="1:2" ht="120">
      <c r="A45" s="115"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1" t="s">
        <v>1305</v>
      </c>
    </row>
    <row r="46" spans="1:2" ht="85.5" customHeight="1">
      <c r="A46" s="115"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11" t="s">
        <v>1304</v>
      </c>
    </row>
    <row r="47" spans="1:2" ht="15">
      <c r="A47" s="119"/>
      <c r="B47" s="111"/>
    </row>
    <row r="48" spans="1:2" ht="30">
      <c r="A48" s="118" t="str">
        <f ca="1">OFFSET(L!$C$1,MATCH("Instructions"&amp;ADDRESS(ROW(),COLUMN(),4),L!$A:$A,0)-1,SL,,)</f>
        <v>Anleitung zum Ausfüllen des Reiters "Smelter List". Bitte machen Sie ihre Angaben nur in englischer Sprache.</v>
      </c>
      <c r="B48" s="111" t="s">
        <v>1304</v>
      </c>
    </row>
    <row r="49" spans="1:2" ht="22.5" customHeight="1">
      <c r="A49" s="281" t="str">
        <f ca="1">OFFSET(L!$C$1,MATCH("Instructions"&amp;ADDRESS(ROW(),COLUMN(),4),L!$A:$A,0)-1,SL,,)</f>
        <v>Hinweis: Spalten mit (*) sind Pflichtfelder</v>
      </c>
      <c r="B49" s="111"/>
    </row>
    <row r="50" spans="1:2" ht="60">
      <c r="A50" s="115"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11" t="s">
        <v>1303</v>
      </c>
    </row>
    <row r="51" spans="1:2" ht="51" customHeight="1">
      <c r="A51" s="115"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11" t="s">
        <v>1304</v>
      </c>
    </row>
    <row r="52" spans="1:2" ht="44.65" customHeight="1">
      <c r="A52" s="115" t="str">
        <f ca="1">OFFSET(L!$C$1,MATCH("Instructions"&amp;ADDRESS(ROW(),COLUMN(),4),L!$A:$A,0)-1,SL,,)</f>
        <v>2.  Metall ( * ) - Verwenden Sie das Pull-down-Menü, um das Metall auszuwählen,  für welches Sie Informationen über die Schmelzhütte eingeben. Dies ist ein Pflichteingabefeld.</v>
      </c>
      <c r="B52" s="111"/>
    </row>
    <row r="53" spans="1:2" ht="79.150000000000006" customHeight="1">
      <c r="A53" s="180"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11" t="s">
        <v>1304</v>
      </c>
    </row>
    <row r="54" spans="1:2" ht="60">
      <c r="A54" s="115"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11" t="s">
        <v>1303</v>
      </c>
    </row>
    <row r="55" spans="1:2" ht="75">
      <c r="A55" s="115"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11" t="s">
        <v>1309</v>
      </c>
    </row>
    <row r="56" spans="1:2" ht="60">
      <c r="A56" s="115"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11" t="s">
        <v>1303</v>
      </c>
    </row>
    <row r="57" spans="1:2" ht="60">
      <c r="A57" s="115"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11" t="s">
        <v>1303</v>
      </c>
    </row>
    <row r="58" spans="1:2" ht="60">
      <c r="A58" s="115" t="str">
        <f ca="1">OFFSET(L!$C$1,MATCH("Instructions"&amp;ADDRESS(ROW(),COLUMN(),4),L!$A:$A,0)-1,SL,,)</f>
        <v>8. Straße der Schmelzhütte – Geben Sie den Straßennamen des Schmelzhüttenstandortes an. Das Ausfüllen dieses Feldes ist freiwillig.</v>
      </c>
      <c r="B58" s="111" t="s">
        <v>1303</v>
      </c>
    </row>
    <row r="59" spans="1:2" ht="30">
      <c r="A59" s="115" t="str">
        <f ca="1">OFFSET(L!$C$1,MATCH("Instructions"&amp;ADDRESS(ROW(),COLUMN(),4),L!$A:$A,0)-1,SL,,)</f>
        <v>9. Ort der Schmelzhütte – Geben Sie den Namen des Ortes an, in dem sich die Schmelzhütte befindet. Das Ausfüllen dieses Feldes ist freiwillig.</v>
      </c>
      <c r="B59" s="111" t="s">
        <v>1304</v>
      </c>
    </row>
    <row r="60" spans="1:2" ht="45" customHeight="1">
      <c r="A60" s="115" t="str">
        <f ca="1">OFFSET(L!$C$1,MATCH("Instructions"&amp;ADDRESS(ROW(),COLUMN(),4),L!$A:$A,0)-1,SL,,)</f>
        <v>10. Standort der Schmelzhütte: Ggf. Bundesland/Region/Provinz – Geben Sie das Bundesland oder die Region/Provinz des Schmelzhüttenstandortes an. Das Ausfüllen dieses Feldes ist freiwillig.</v>
      </c>
      <c r="B60" s="111" t="s">
        <v>1307</v>
      </c>
    </row>
    <row r="61" spans="1:2" ht="195">
      <c r="A61" s="115"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11" t="s">
        <v>1307</v>
      </c>
    </row>
    <row r="62" spans="1:2" ht="60">
      <c r="A62" s="115"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11" t="s">
        <v>1303</v>
      </c>
    </row>
    <row r="63" spans="1:2" ht="125.45" customHeight="1">
      <c r="A63" s="115"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11" t="s">
        <v>1303</v>
      </c>
    </row>
    <row r="64" spans="1:2" ht="136.15" customHeight="1">
      <c r="A64" s="115"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11"/>
    </row>
    <row r="65" spans="1:2" ht="90">
      <c r="A65" s="115"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11"/>
    </row>
    <row r="66" spans="1:2" ht="110.25" customHeight="1">
      <c r="A66" s="115" t="str">
        <f ca="1">OFFSET(L!$C$1,MATCH("Instructions"&amp;ADDRESS(ROW(),COLUMN(),4),L!$A:$A,0)-1,SL,,)</f>
        <v xml:space="preserve">16. Anmerkungen - geben Sie Ihre Anmerkungen zu den Schmelzhütten in das Textfeld ein. Beispiel: Smelter is being acquired by Company YYY </v>
      </c>
      <c r="B66" s="111"/>
    </row>
    <row r="67" spans="1:2" s="28" customFormat="1" ht="15">
      <c r="A67" s="120"/>
      <c r="B67" s="111"/>
    </row>
    <row r="68" spans="1:2" s="28" customFormat="1" ht="34.5" customHeight="1">
      <c r="A68" s="118" t="str">
        <f ca="1">OFFSET(L!$C$1,MATCH("Instructions"&amp;ADDRESS(ROW(),COLUMN(),4),L!$A:$A,0)-1,SL,,)</f>
        <v>Allgemeine Geschäftsbedingungen (AGB)</v>
      </c>
      <c r="B68" s="111"/>
    </row>
    <row r="69" spans="1:2" s="28" customFormat="1" ht="15">
      <c r="A69" s="120"/>
      <c r="B69" s="111"/>
    </row>
    <row r="70" spans="1:2" ht="80.650000000000006" customHeight="1">
      <c r="A70" s="118"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11" t="s">
        <v>1304</v>
      </c>
    </row>
    <row r="71" spans="1:2" ht="93.6" customHeight="1">
      <c r="A71" s="281"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11" t="s">
        <v>1310</v>
      </c>
    </row>
    <row r="72" spans="1:2" ht="155.44999999999999" customHeight="1">
      <c r="A72" s="281"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11" t="s">
        <v>1308</v>
      </c>
    </row>
    <row r="73" spans="1:2" ht="75">
      <c r="A73" s="281"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79"/>
      <c r="B1" s="380"/>
      <c r="C1" s="380"/>
      <c r="D1" s="381"/>
    </row>
    <row r="2" spans="1:5" ht="71.25" customHeight="1">
      <c r="A2" s="84"/>
      <c r="B2" s="159" t="str">
        <f ca="1">OFFSET(L!$C$1,MATCH("Definitions"&amp;ADDRESS(ROW(),COLUMN(),4),L!$A:$A,0)-1,SL,,)</f>
        <v>Posten</v>
      </c>
      <c r="C2" s="159" t="str">
        <f ca="1">OFFSET(L!$C$1,MATCH("Definitions"&amp;ADDRESS(ROW(),COLUMN(),4),L!$A:$A,0)-1,SL,,)</f>
        <v>Definition</v>
      </c>
      <c r="D2" s="383"/>
      <c r="E2" s="121"/>
    </row>
    <row r="3" spans="1:5" ht="64.150000000000006" customHeight="1">
      <c r="A3" s="84"/>
      <c r="B3" s="71" t="str">
        <f ca="1">OFFSET(L!$C$1,MATCH("Definitions"&amp;ADDRESS(ROW(),COLUMN(),4),L!$A:$A,0)-1,SL,,)</f>
        <v>3TG</v>
      </c>
      <c r="C3" s="71" t="str">
        <f ca="1">OFFSET(L!$C$1,MATCH("Definitions"&amp;ADDRESS(ROW(),COLUMN(),4),L!$A:$A,0)-1,SL,,)</f>
        <v>Zinn, Tantal, Wolfram, Gold</v>
      </c>
      <c r="D3" s="383"/>
      <c r="E3" s="122" t="s">
        <v>1312</v>
      </c>
    </row>
    <row r="4" spans="1:5" ht="63.75" customHeight="1">
      <c r="A4" s="84"/>
      <c r="B4" s="71" t="str">
        <f ca="1">OFFSET(L!$C$1,MATCH("Definitions"&amp;ADDRESS(ROW(),COLUMN(),4),L!$A:$A,0)-1,SL,,)</f>
        <v>Bevollmächtigter</v>
      </c>
      <c r="C4" s="71"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3"/>
      <c r="E4" s="122"/>
    </row>
    <row r="5" spans="1:5" ht="75">
      <c r="A5" s="84"/>
      <c r="B5" s="71" t="str">
        <f ca="1">OFFSET(L!$C$1,MATCH("Definitions"&amp;ADDRESS(ROW(),COLUMN(),4),L!$A:$A,0)-1,SL,,)</f>
        <v>Konflikt- und Hochrisikogebiete (CAHRA)</v>
      </c>
      <c r="C5" s="71"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83"/>
      <c r="E5" s="122"/>
    </row>
    <row r="6" spans="1:5" ht="151.15" customHeight="1">
      <c r="A6" s="84"/>
      <c r="B6" s="71" t="str">
        <f ca="1">OFFSET(L!$C$1,MATCH("Definitions"&amp;ADDRESS(ROW(),COLUMN(),4),L!$A:$A,0)-1,SL,,)</f>
        <v>Konfliktmineral</v>
      </c>
      <c r="C6" s="71"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83"/>
      <c r="E6" s="122" t="s">
        <v>1313</v>
      </c>
    </row>
    <row r="7" spans="1:5" ht="105.6" customHeight="1">
      <c r="A7" s="84"/>
      <c r="B7" s="71" t="str">
        <f ca="1">OFFSET(L!$C$1,MATCH("Definitions"&amp;ADDRESS(ROW(),COLUMN(),4),L!$A:$A,0)-1,SL,,)</f>
        <v>umfassendes Land(er)</v>
      </c>
      <c r="C7" s="71"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83"/>
      <c r="E7" s="122" t="s">
        <v>1313</v>
      </c>
    </row>
    <row r="8" spans="1:5" ht="135">
      <c r="A8" s="84"/>
      <c r="B8" s="71" t="str">
        <f ca="1">OFFSET(L!$C$1,MATCH("Definitions"&amp;ADDRESS(ROW(),COLUMN(),4),L!$A:$A,0)-1,SL,,)</f>
        <v>Erklärung Anwendungsbereich oder Klasse</v>
      </c>
      <c r="C8" s="71"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83"/>
      <c r="E8" s="122" t="s">
        <v>1316</v>
      </c>
    </row>
    <row r="9" spans="1:5" ht="60">
      <c r="A9" s="84"/>
      <c r="B9" s="71" t="str">
        <f ca="1">OFFSET(L!$C$1,MATCH("Definitions"&amp;ADDRESS(ROW(),COLUMN(),4),L!$A:$A,0)-1,SL,,)</f>
        <v>Dodd-Frank</v>
      </c>
      <c r="C9" s="71" t="str">
        <f ca="1">OFFSET(L!$C$1,MATCH("Definitions"&amp;ADDRESS(ROW(),COLUMN(),4),L!$A:$A,0)-1,SL,,)</f>
        <v>2010 US Gesetzgebung, Dodd-Frank-Walls Street Reform and Consumer Protection Art, Section 1502 ("Dodd-Frank") (http://www.sec.gov/about/laws/wallstreetreform-cpa.pdf)</v>
      </c>
      <c r="D9" s="383"/>
      <c r="E9" s="122" t="s">
        <v>1313</v>
      </c>
    </row>
    <row r="10" spans="1:5" ht="45">
      <c r="A10" s="84"/>
      <c r="B10" s="71" t="str">
        <f ca="1">OFFSET(L!$C$1,MATCH("Definitions"&amp;ADDRESS(ROW(),COLUMN(),4),L!$A:$A,0)-1,SL,,)</f>
        <v>DRK</v>
      </c>
      <c r="C10" s="71" t="str">
        <f ca="1">OFFSET(L!$C$1,MATCH("Definitions"&amp;ADDRESS(ROW(),COLUMN(),4),L!$A:$A,0)-1,SL,,)</f>
        <v>Demokratische Republik Kongo</v>
      </c>
      <c r="D10" s="383"/>
      <c r="E10" s="122" t="s">
        <v>1312</v>
      </c>
    </row>
    <row r="11" spans="1:5" ht="75" hidden="1">
      <c r="A11" s="84"/>
      <c r="B11" s="71" t="str">
        <f ca="1">OFFSET(L!$C$1,MATCH("Definitions"&amp;ADDRESS(ROW(),COLUMN(),4),L!$A:$A,0)-1,SL,,)</f>
        <v>DRK Konflikt-Frei</v>
      </c>
      <c r="C11" s="71"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83"/>
      <c r="E11" s="122" t="s">
        <v>1312</v>
      </c>
    </row>
    <row r="12" spans="1:5" ht="75">
      <c r="A12" s="84"/>
      <c r="B12" s="71" t="str">
        <f ca="1">OFFSET(L!$C$1,MATCH("Definitions"&amp;ADDRESS(ROW(),COLUMN(),4),L!$A:$A,0)-1,SL,,)</f>
        <v>Gold (Au) Raffinerie (Schmelzhutte)</v>
      </c>
      <c r="C12" s="71"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83"/>
      <c r="E12" s="122" t="s">
        <v>1312</v>
      </c>
    </row>
    <row r="13" spans="1:5" ht="107.25" customHeight="1">
      <c r="A13" s="84"/>
      <c r="B13" s="71" t="str">
        <f ca="1">OFFSET(L!$C$1,MATCH("Definitions"&amp;ADDRESS(ROW(),COLUMN(),4),L!$A:$A,0)-1,SL,,)</f>
        <v>Unabhängige Private Wirtschaftsprüfungsgesellschaft</v>
      </c>
      <c r="C13" s="71"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83"/>
      <c r="E13" s="122" t="s">
        <v>1314</v>
      </c>
    </row>
    <row r="14" spans="1:5" ht="315">
      <c r="A14" s="84"/>
      <c r="B14" s="71" t="str">
        <f ca="1">OFFSET(L!$C$1,MATCH("Definitions"&amp;ADDRESS(ROW(),COLUMN(),4),L!$A:$A,0)-1,SL,,)</f>
        <v>Absichtlich hinzugefügt</v>
      </c>
      <c r="C14" s="71"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83"/>
      <c r="E14" s="122" t="s">
        <v>1312</v>
      </c>
    </row>
    <row r="15" spans="1:5" ht="150">
      <c r="A15" s="84"/>
      <c r="B15" s="71" t="str">
        <f ca="1">OFFSET(L!$C$1,MATCH("Definitions"&amp;ADDRESS(ROW(),COLUMN(),4),L!$A:$A,0)-1,SL,,)</f>
        <v>IPC</v>
      </c>
      <c r="C15" s="71"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83"/>
      <c r="E15" s="122" t="s">
        <v>1312</v>
      </c>
    </row>
    <row r="16" spans="1:5" ht="75">
      <c r="A16" s="84"/>
      <c r="B16" s="71" t="str">
        <f ca="1">OFFSET(L!$C$1,MATCH("Definitions"&amp;ADDRESS(ROW(),COLUMN(),4),L!$A:$A,0)-1,SL,,)</f>
        <v>IPC-1755 Responsible Minerals Data Exchange Standard</v>
      </c>
      <c r="C16" s="71"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83"/>
      <c r="E16" s="122" t="s">
        <v>1312</v>
      </c>
    </row>
    <row r="17" spans="1:5" ht="255">
      <c r="A17" s="84"/>
      <c r="B17" s="71" t="str">
        <f ca="1">OFFSET(L!$C$1,MATCH("Definitions"&amp;ADDRESS(ROW(),COLUMN(),4),L!$A:$A,0)-1,SL,,)</f>
        <v>Erforderlich für die Funktionalität des Produkts</v>
      </c>
      <c r="C17" s="71"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83"/>
      <c r="E17" s="122" t="s">
        <v>1312</v>
      </c>
    </row>
    <row r="18" spans="1:5" ht="165">
      <c r="A18" s="84"/>
      <c r="B18" s="71" t="str">
        <f ca="1">OFFSET(L!$C$1,MATCH("Definitions"&amp;ADDRESS(ROW(),COLUMN(),4),L!$A:$A,0)-1,SL,,)</f>
        <v>Erforderlich für die Herstellung eines Produkt</v>
      </c>
      <c r="C18" s="71"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83"/>
      <c r="E18" s="122" t="s">
        <v>1312</v>
      </c>
    </row>
    <row r="19" spans="1:5" ht="15">
      <c r="A19" s="84"/>
      <c r="B19" s="71" t="str">
        <f ca="1">OFFSET(L!$C$1,MATCH("Definitions"&amp;ADDRESS(ROW(),COLUMN(),4),L!$A:$A,0)-1,SL,,)</f>
        <v>OECD</v>
      </c>
      <c r="C19" s="71" t="str">
        <f ca="1">OFFSET(L!$C$1,MATCH("Definitions"&amp;ADDRESS(ROW(),COLUMN(),4),L!$A:$A,0)-1,SL,,)</f>
        <v>Organisation für wirtschaftliche Zusammenarbeit und Entwicklung</v>
      </c>
      <c r="D19" s="383"/>
      <c r="E19" s="122"/>
    </row>
    <row r="20" spans="1:5" ht="45">
      <c r="A20" s="84"/>
      <c r="B20" s="71" t="str">
        <f ca="1">OFFSET(L!$C$1,MATCH("Definitions"&amp;ADDRESS(ROW(),COLUMN(),4),L!$A:$A,0)-1,SL,,)</f>
        <v>Produkt</v>
      </c>
      <c r="C20" s="71"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83"/>
      <c r="E20" s="122"/>
    </row>
    <row r="21" spans="1:5" ht="15">
      <c r="A21" s="84"/>
      <c r="B21" s="71" t="str">
        <f ca="1">OFFSET(L!$C$1,MATCH("Definitions"&amp;ADDRESS(ROW(),COLUMN(),4),L!$A:$A,0)-1,SL,,)</f>
        <v>RBA</v>
      </c>
      <c r="C21" s="71" t="str">
        <f ca="1">OFFSET(L!$C$1,MATCH("Definitions"&amp;ADDRESS(ROW(),COLUMN(),4),L!$A:$A,0)-1,SL,,)</f>
        <v>Responsible Business Alliance (www.responsiblebusiness.org)</v>
      </c>
      <c r="D21" s="383"/>
      <c r="E21" s="122"/>
    </row>
    <row r="22" spans="1:5" ht="106.5" customHeight="1">
      <c r="A22" s="84"/>
      <c r="B22" s="71" t="str">
        <f ca="1">OFFSET(L!$C$1,MATCH("Definitions"&amp;ADDRESS(ROW(),COLUMN(),4),L!$A:$A,0)-1,SL,,)</f>
        <v>Recycling oder Schrott Quellen</v>
      </c>
      <c r="C22" s="71"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83"/>
      <c r="E22" s="122"/>
    </row>
    <row r="23" spans="1:5" ht="60">
      <c r="A23" s="84"/>
      <c r="B23" s="71" t="str">
        <f ca="1">OFFSET(L!$C$1,MATCH("Definitions"&amp;ADDRESS(ROW(),COLUMN(),4),L!$A:$A,0)-1,SL,,)</f>
        <v>Responsible Minerals Assurance Process (RMAP)</v>
      </c>
      <c r="C23" s="71"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83"/>
      <c r="E23" s="122"/>
    </row>
    <row r="24" spans="1:5" ht="168" customHeight="1">
      <c r="A24" s="84"/>
      <c r="B24" s="71" t="str">
        <f ca="1">OFFSET(L!$C$1,MATCH("Definitions"&amp;ADDRESS(ROW(),COLUMN(),4),L!$A:$A,0)-1,SL,,)</f>
        <v>Responsible Minerals Initiative</v>
      </c>
      <c r="C24" s="71"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83"/>
      <c r="E24" s="122"/>
    </row>
    <row r="25" spans="1:5" ht="177.6" customHeight="1">
      <c r="A25" s="84"/>
      <c r="B25" s="71" t="str">
        <f ca="1">OFFSET(L!$C$1,MATCH("Definitions"&amp;ADDRESS(ROW(),COLUMN(),4),L!$A:$A,0)-1,SL,,)</f>
        <v>RMAP Compliant Smelter Liste</v>
      </c>
      <c r="C25" s="71"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83"/>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3"/>
      <c r="E26" s="122" t="s">
        <v>1314</v>
      </c>
    </row>
    <row r="27" spans="1:5" ht="90">
      <c r="A27" s="84"/>
      <c r="B27" s="71" t="str">
        <f ca="1">OFFSET(L!$C$1,MATCH("Definitions"&amp;ADDRESS(ROW(),COLUMN(),4),L!$A:$A,0)-1,SL,,)</f>
        <v>Schmelzhütte</v>
      </c>
      <c r="C27" s="71"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83"/>
      <c r="E27" s="122" t="s">
        <v>1312</v>
      </c>
    </row>
    <row r="28" spans="1:5" ht="60">
      <c r="A28" s="84"/>
      <c r="B28" s="71" t="str">
        <f ca="1">OFFSET(L!$C$1,MATCH("Definitions"&amp;ADDRESS(ROW(),COLUMN(),4),L!$A:$A,0)-1,SL,,)</f>
        <v>Schmelzhütte Id-Nummer</v>
      </c>
      <c r="C28" s="71"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83"/>
      <c r="E28" s="122" t="s">
        <v>1313</v>
      </c>
    </row>
    <row r="29" spans="1:5" ht="105">
      <c r="A29" s="84"/>
      <c r="B29" s="71" t="str">
        <f ca="1">OFFSET(L!$C$1,MATCH("Definitions"&amp;ADDRESS(ROW(),COLUMN(),4),L!$A:$A,0)-1,SL,,)</f>
        <v>Tantal (Ta) Schmelzhütte</v>
      </c>
      <c r="C29" s="71"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83"/>
      <c r="E29" s="122" t="s">
        <v>1314</v>
      </c>
    </row>
    <row r="30" spans="1:5" ht="151.9" customHeight="1">
      <c r="A30" s="84"/>
      <c r="B30" s="71" t="str">
        <f ca="1">OFFSET(L!$C$1,MATCH("Definitions"&amp;ADDRESS(ROW(),COLUMN(),4),L!$A:$A,0)-1,SL,,)</f>
        <v>Zinn (Sn) Schmelzhütte</v>
      </c>
      <c r="C30" s="71"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83"/>
      <c r="E30" s="122" t="s">
        <v>1315</v>
      </c>
    </row>
    <row r="31" spans="1:5" ht="136.9" customHeight="1">
      <c r="A31" s="84"/>
      <c r="B31" s="71" t="str">
        <f ca="1">OFFSET(L!$C$1,MATCH("Definitions"&amp;ADDRESS(ROW(),COLUMN(),4),L!$A:$A,0)-1,SL,,)</f>
        <v>Wolfram (W) Schmelzhütte</v>
      </c>
      <c r="C31" s="71"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83"/>
      <c r="E31" s="122"/>
    </row>
    <row r="32" spans="1:5" ht="15">
      <c r="A32" s="84"/>
      <c r="B32" s="382" t="str">
        <f ca="1">OFFSET(L!$C$1,MATCH("General"&amp;"Cpy",L!$A:$A,0)-1,SL,,)</f>
        <v>© 2022 Responsible Minerals Initiative. All rights reserved.</v>
      </c>
      <c r="C32" s="382"/>
      <c r="D32" s="383"/>
      <c r="E32" s="122"/>
    </row>
    <row r="33" spans="1:4" ht="13.5" thickBot="1">
      <c r="A33" s="85"/>
      <c r="B33" s="176"/>
      <c r="C33" s="176"/>
      <c r="D33" s="384"/>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A65" zoomScalePageLayoutView="70" workbookViewId="0">
      <selection activeCell="D89" sqref="D89:E8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9"/>
      <c r="B1" s="420"/>
      <c r="C1" s="420"/>
      <c r="D1" s="420"/>
      <c r="E1" s="420"/>
      <c r="F1" s="420"/>
      <c r="G1" s="420"/>
      <c r="H1" s="420"/>
      <c r="I1" s="420"/>
      <c r="J1" s="420"/>
      <c r="K1" s="421"/>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2" t="str">
        <f ca="1">OFFSET(L!$C$1,MATCH("Declaration"&amp;ADDRESS(ROW(),COLUMN(),4),L!$A:$A,0)-1,SL,,)</f>
        <v>Conflict Minerals Reporting Template (CMRT)</v>
      </c>
      <c r="E2" s="423"/>
      <c r="F2" s="423"/>
      <c r="G2" s="423"/>
      <c r="H2" s="423"/>
      <c r="I2" s="423"/>
      <c r="J2" s="424"/>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536</v>
      </c>
      <c r="E3" s="12"/>
      <c r="F3" s="432"/>
      <c r="G3" s="432"/>
      <c r="H3" s="432"/>
      <c r="I3" s="175"/>
      <c r="J3" s="160" t="s">
        <v>15654</v>
      </c>
      <c r="K3" s="44"/>
      <c r="L3" s="133"/>
      <c r="M3" s="124"/>
      <c r="N3" s="124"/>
      <c r="O3" s="125"/>
      <c r="P3" s="138">
        <f>MATCH($D$3,LN,0)</f>
        <v>7</v>
      </c>
    </row>
    <row r="4" spans="1:34" ht="15.75">
      <c r="A4" s="42"/>
      <c r="B4" s="428" t="str">
        <f ca="1">OFFSET(L!$C$1,MATCH("Declaration"&amp;ADDRESS(ROW(),COLUMN(),4),L!$A:$A,0)-1,SL,,)</f>
        <v>Der Zweck dieses Dokuments ist die Erfassung von Beschaffungsinformationen für Zinn, Tantal, Wolfram und Gold, welche in Produkten genutzt werden.</v>
      </c>
      <c r="C4" s="428"/>
      <c r="D4" s="428"/>
      <c r="E4" s="428"/>
      <c r="F4" s="428"/>
      <c r="G4" s="428"/>
      <c r="H4" s="428"/>
      <c r="I4" s="433" t="str">
        <f ca="1">OFFSET(L!$C$1,MATCH("Declaration"&amp;ADDRESS(ROW(),COLUMN(),4),L!$A:$A,0)-1,SL,,)</f>
        <v>Link zu den Bedingungen</v>
      </c>
      <c r="J4" s="433"/>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8" t="str">
        <f ca="1">OFFSET(L!$C$1,MATCH("Declaration"&amp;ADDRESS(ROW(),COLUMN(),4),L!$A:$A,0)-1,SL,,)</f>
        <v>Pflichtfelder sind mit einem Sternchen (*) gekennzeichnet.  Im Tab „Instruktionen“ finden Sie eine Anleitung zur Beantwortung aller Fragen.</v>
      </c>
      <c r="C6" s="428"/>
      <c r="D6" s="428"/>
      <c r="E6" s="428"/>
      <c r="F6" s="428"/>
      <c r="G6" s="428"/>
      <c r="H6" s="428"/>
      <c r="I6" s="428"/>
      <c r="J6" s="428"/>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7" t="str">
        <f ca="1">OFFSET(L!$C$1,MATCH("Declaration"&amp;ADDRESS(ROW(),COLUMN(),4),L!$A:$A,0)-1,SL,,)</f>
        <v>Firmenangaben</v>
      </c>
      <c r="C7" s="437"/>
      <c r="D7" s="437"/>
      <c r="E7" s="437"/>
      <c r="F7" s="437"/>
      <c r="G7" s="437"/>
      <c r="H7" s="437"/>
      <c r="I7" s="437"/>
      <c r="J7" s="437"/>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Firmenname (*):</v>
      </c>
      <c r="C8" s="86"/>
      <c r="D8" s="425" t="s">
        <v>15655</v>
      </c>
      <c r="E8" s="426"/>
      <c r="F8" s="426"/>
      <c r="G8" s="426"/>
      <c r="H8" s="426"/>
      <c r="I8" s="426"/>
      <c r="J8" s="427"/>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Geltungsbereich der Erklärung (*):</v>
      </c>
      <c r="C9" s="86"/>
      <c r="D9" s="434" t="s">
        <v>494</v>
      </c>
      <c r="E9" s="435"/>
      <c r="F9" s="435"/>
      <c r="G9" s="436"/>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8" t="str">
        <f ca="1">OFFSET(L!$C$1,MATCH("Declaration"&amp;ADDRESS(ROW(),COLUMN(),4)&amp;LEFT($D$9,1),L!$A:$A,0)-1,SL,,)</f>
        <v>Beschreibung des Geltungsbereichs</v>
      </c>
      <c r="C10" s="144"/>
      <c r="D10" s="429" t="s">
        <v>15656</v>
      </c>
      <c r="E10" s="430"/>
      <c r="F10" s="430"/>
      <c r="G10" s="430"/>
      <c r="H10" s="430"/>
      <c r="I10" s="430"/>
      <c r="J10" s="431"/>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9"/>
      <c r="C11" s="144"/>
      <c r="D11" s="404" t="str">
        <f ca="1">IF(D9=Q9,OFFSET(L!$C$1,MATCH("Declaration"&amp;ADDRESS(ROW(),COLUMN(),4),L!$A:$A,0)-1,SL,,),"")</f>
        <v/>
      </c>
      <c r="E11" s="405"/>
      <c r="F11" s="405"/>
      <c r="G11" s="405"/>
      <c r="H11" s="405"/>
      <c r="I11" s="405"/>
      <c r="J11" s="406"/>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Eindeutige Unternehmenskennung:</v>
      </c>
      <c r="C12" s="87"/>
      <c r="D12" s="412" t="s">
        <v>15657</v>
      </c>
      <c r="E12" s="413"/>
      <c r="F12" s="413"/>
      <c r="G12" s="413"/>
      <c r="H12" s="413"/>
      <c r="I12" s="413"/>
      <c r="J12" s="414"/>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Zuständige Stelle im Unternehmen:</v>
      </c>
      <c r="C13" s="87"/>
      <c r="D13" s="412" t="s">
        <v>15658</v>
      </c>
      <c r="E13" s="413"/>
      <c r="F13" s="413"/>
      <c r="G13" s="413"/>
      <c r="H13" s="413"/>
      <c r="I13" s="413"/>
      <c r="J13" s="414"/>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Adresse:</v>
      </c>
      <c r="C14" s="87"/>
      <c r="D14" s="412" t="s">
        <v>15659</v>
      </c>
      <c r="E14" s="413"/>
      <c r="F14" s="413"/>
      <c r="G14" s="413"/>
      <c r="H14" s="413"/>
      <c r="I14" s="413"/>
      <c r="J14" s="414"/>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Name des Ansprechpartners (*):</v>
      </c>
      <c r="C15" s="87"/>
      <c r="D15" s="412" t="s">
        <v>15660</v>
      </c>
      <c r="E15" s="413"/>
      <c r="F15" s="413"/>
      <c r="G15" s="413"/>
      <c r="H15" s="413"/>
      <c r="I15" s="413"/>
      <c r="J15" s="414"/>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E-Mail-Adresse des Ansprechpartners (*):</v>
      </c>
      <c r="C16" s="87"/>
      <c r="D16" s="440" t="s">
        <v>15661</v>
      </c>
      <c r="E16" s="441"/>
      <c r="F16" s="441"/>
      <c r="G16" s="441"/>
      <c r="H16" s="441"/>
      <c r="I16" s="441"/>
      <c r="J16" s="442"/>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Telefonnummer des Ansprechpartners (*):</v>
      </c>
      <c r="C17" s="87"/>
      <c r="D17" s="412" t="s">
        <v>15662</v>
      </c>
      <c r="E17" s="413"/>
      <c r="F17" s="413"/>
      <c r="G17" s="413"/>
      <c r="H17" s="413"/>
      <c r="I17" s="413"/>
      <c r="J17" s="414"/>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Bevollmächtigter (*):</v>
      </c>
      <c r="C18" s="87"/>
      <c r="D18" s="385" t="s">
        <v>15664</v>
      </c>
      <c r="E18" s="386"/>
      <c r="F18" s="386"/>
      <c r="G18" s="386"/>
      <c r="H18" s="386"/>
      <c r="I18" s="386"/>
      <c r="J18" s="387"/>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Titel des Bevollmächtigten:</v>
      </c>
      <c r="C19" s="87"/>
      <c r="D19" s="412" t="s">
        <v>15663</v>
      </c>
      <c r="E19" s="413"/>
      <c r="F19" s="413"/>
      <c r="G19" s="413"/>
      <c r="H19" s="413"/>
      <c r="I19" s="413"/>
      <c r="J19" s="414"/>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E-Mail-Adresse des Bevollmächtigten (*):</v>
      </c>
      <c r="C20" s="87"/>
      <c r="D20" s="440" t="s">
        <v>15665</v>
      </c>
      <c r="E20" s="441"/>
      <c r="F20" s="441"/>
      <c r="G20" s="441"/>
      <c r="H20" s="441"/>
      <c r="I20" s="441"/>
      <c r="J20" s="442"/>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Telefonnummer des Bevollmächtigten:</v>
      </c>
      <c r="C21" s="155"/>
      <c r="D21" s="443" t="s">
        <v>15662</v>
      </c>
      <c r="E21" s="444"/>
      <c r="F21" s="444"/>
      <c r="G21" s="444"/>
      <c r="H21" s="444"/>
      <c r="I21" s="444"/>
      <c r="J21" s="445"/>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Datum (*):</v>
      </c>
      <c r="C22" s="88"/>
      <c r="D22" s="446">
        <v>44742</v>
      </c>
      <c r="E22" s="447"/>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5"/>
      <c r="E23" s="415"/>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8" t="str">
        <f ca="1">OFFSET(L!$C$1,MATCH("Declaration"&amp;ADDRESS(ROW(),COLUMN(),4),L!$A:$A,0)-1,SL,,)</f>
        <v>Beantworten Sie die Fragen 1 - 8 entsprechend dem oben angegebenen Geltungsbereich</v>
      </c>
      <c r="C24" s="448"/>
      <c r="D24" s="448"/>
      <c r="E24" s="448"/>
      <c r="F24" s="448"/>
      <c r="G24" s="448"/>
      <c r="H24" s="448"/>
      <c r="I24" s="448"/>
      <c r="J24" s="448"/>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Wird absichtlich ein 3TG-Mineral im Herstellungsprozess verwendet oder in das/die Produkt(e) aufgenommen? (*)</v>
      </c>
      <c r="C25" s="20"/>
      <c r="D25" s="395" t="str">
        <f ca="1">OFFSET(L!$C$1,MATCH("Declaration"&amp;ADDRESS(ROW(),COLUMN(),4),L!$A:$A,0)-1,SL,,)</f>
        <v>Antwort</v>
      </c>
      <c r="E25" s="395"/>
      <c r="F25" s="21"/>
      <c r="G25" s="52" t="str">
        <f ca="1">OFFSET(L!$C$1,MATCH("Declaration"&amp;ADDRESS(ROW(),COLUMN(),4),L!$A:$A,0)-1,SL,,)</f>
        <v>Kommentare</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  </v>
      </c>
      <c r="C26" s="43"/>
      <c r="D26" s="388" t="s">
        <v>489</v>
      </c>
      <c r="E26" s="389"/>
      <c r="F26" s="15"/>
      <c r="G26" s="390"/>
      <c r="H26" s="391"/>
      <c r="I26" s="391"/>
      <c r="J26" s="392"/>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Zinn  (*)</v>
      </c>
      <c r="C27" s="43"/>
      <c r="D27" s="388" t="s">
        <v>488</v>
      </c>
      <c r="E27" s="389"/>
      <c r="F27" s="15"/>
      <c r="G27" s="390"/>
      <c r="H27" s="391"/>
      <c r="I27" s="391"/>
      <c r="J27" s="392"/>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8" t="s">
        <v>488</v>
      </c>
      <c r="E28" s="389"/>
      <c r="F28" s="15"/>
      <c r="G28" s="390"/>
      <c r="H28" s="391"/>
      <c r="I28" s="391"/>
      <c r="J28" s="392"/>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Wolfram  </v>
      </c>
      <c r="C29" s="43"/>
      <c r="D29" s="388" t="s">
        <v>489</v>
      </c>
      <c r="E29" s="389"/>
      <c r="F29" s="15"/>
      <c r="G29" s="390"/>
      <c r="H29" s="391"/>
      <c r="I29" s="391"/>
      <c r="J29" s="392"/>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Liegen in dem/den Produkt(en) 3TG-Rückstände vor?  (*)</v>
      </c>
      <c r="C31" s="13"/>
      <c r="D31" s="397" t="str">
        <f ca="1">D25</f>
        <v>Antwort</v>
      </c>
      <c r="E31" s="397"/>
      <c r="F31" s="21"/>
      <c r="G31" s="52" t="str">
        <f ca="1">G25</f>
        <v>Kommentare</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  </v>
      </c>
      <c r="C32" s="13"/>
      <c r="D32" s="407"/>
      <c r="E32" s="408"/>
      <c r="F32" s="55"/>
      <c r="G32" s="390"/>
      <c r="H32" s="391"/>
      <c r="I32" s="391"/>
      <c r="J32" s="392"/>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Zinn  (*)</v>
      </c>
      <c r="C33" s="13"/>
      <c r="D33" s="388" t="s">
        <v>488</v>
      </c>
      <c r="E33" s="389"/>
      <c r="F33" s="55"/>
      <c r="G33" s="390"/>
      <c r="H33" s="391"/>
      <c r="I33" s="391"/>
      <c r="J33" s="392"/>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8" t="s">
        <v>488</v>
      </c>
      <c r="E34" s="389"/>
      <c r="F34" s="55"/>
      <c r="G34" s="390"/>
      <c r="H34" s="391"/>
      <c r="I34" s="391"/>
      <c r="J34" s="392"/>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Wolfram  </v>
      </c>
      <c r="C35" s="13"/>
      <c r="D35" s="388"/>
      <c r="E35" s="389"/>
      <c r="F35" s="55"/>
      <c r="G35" s="390"/>
      <c r="H35" s="391"/>
      <c r="I35" s="391"/>
      <c r="J35" s="392"/>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Beschaffen Schmelzhütten in Ihrer Lieferkette das 3TG-Mineral aus den umfassten Ländern? (SEC-Begriff, siehe Definitions-Tab) (*)</v>
      </c>
      <c r="C37" s="13"/>
      <c r="D37" s="397" t="str">
        <f ca="1">D25</f>
        <v>Antwort</v>
      </c>
      <c r="E37" s="397"/>
      <c r="F37" s="21"/>
      <c r="G37" s="52" t="str">
        <f ca="1">G25</f>
        <v>Kommentare</v>
      </c>
      <c r="H37" s="411"/>
      <c r="I37" s="411"/>
      <c r="J37" s="411"/>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  </v>
      </c>
      <c r="C38" s="13"/>
      <c r="D38" s="388"/>
      <c r="E38" s="389"/>
      <c r="F38" s="55"/>
      <c r="G38" s="390"/>
      <c r="H38" s="391"/>
      <c r="I38" s="391"/>
      <c r="J38" s="392"/>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Zinn  (*)</v>
      </c>
      <c r="C39" s="13"/>
      <c r="D39" s="388" t="s">
        <v>489</v>
      </c>
      <c r="E39" s="389"/>
      <c r="F39" s="55"/>
      <c r="G39" s="390"/>
      <c r="H39" s="391"/>
      <c r="I39" s="391"/>
      <c r="J39" s="392"/>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8" t="s">
        <v>489</v>
      </c>
      <c r="E40" s="389"/>
      <c r="F40" s="55"/>
      <c r="G40" s="390"/>
      <c r="H40" s="391"/>
      <c r="I40" s="391"/>
      <c r="J40" s="392"/>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Wolfram  </v>
      </c>
      <c r="C41" s="13"/>
      <c r="D41" s="388"/>
      <c r="E41" s="389"/>
      <c r="F41" s="55"/>
      <c r="G41" s="390"/>
      <c r="H41" s="391"/>
      <c r="I41" s="391"/>
      <c r="J41" s="392"/>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Beziehen Schmelzhütten in Ihrer Lieferkette ihre 3TG aus von Konflikten betroffenen und risikoreichen Gebieten? (*)</v>
      </c>
      <c r="C43" s="13"/>
      <c r="D43" s="397" t="str">
        <f ca="1">D25</f>
        <v>Antwort</v>
      </c>
      <c r="E43" s="397"/>
      <c r="F43" s="21"/>
      <c r="G43" s="52" t="str">
        <f ca="1">G25</f>
        <v>Kommentare</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  </v>
      </c>
      <c r="C44" s="13"/>
      <c r="D44" s="388"/>
      <c r="E44" s="389"/>
      <c r="F44" s="55"/>
      <c r="G44" s="390"/>
      <c r="H44" s="391"/>
      <c r="I44" s="391"/>
      <c r="J44" s="392"/>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Zinn  (*)</v>
      </c>
      <c r="C45" s="13"/>
      <c r="D45" s="388" t="s">
        <v>490</v>
      </c>
      <c r="E45" s="389"/>
      <c r="F45" s="55"/>
      <c r="G45" s="390"/>
      <c r="H45" s="391"/>
      <c r="I45" s="391"/>
      <c r="J45" s="392"/>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8" t="s">
        <v>490</v>
      </c>
      <c r="E46" s="389"/>
      <c r="F46" s="55"/>
      <c r="G46" s="390"/>
      <c r="H46" s="391"/>
      <c r="I46" s="391"/>
      <c r="J46" s="392"/>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Wolfram  </v>
      </c>
      <c r="C47" s="13"/>
      <c r="D47" s="388"/>
      <c r="E47" s="389"/>
      <c r="F47" s="55"/>
      <c r="G47" s="390"/>
      <c r="H47" s="391"/>
      <c r="I47" s="391"/>
      <c r="J47" s="392"/>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Stammt das für die Funktionalität oder  Herstellung Ihrer Produkte benötigte 3TG-Mineral zu 100 % aus Recycling- oder Schrottquellen?  (*)</v>
      </c>
      <c r="C49" s="13"/>
      <c r="D49" s="397" t="str">
        <f ca="1">D25</f>
        <v>Antwort</v>
      </c>
      <c r="E49" s="397"/>
      <c r="F49" s="21"/>
      <c r="G49" s="52" t="str">
        <f ca="1">G25</f>
        <v>Kommentare</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  </v>
      </c>
      <c r="C50" s="13"/>
      <c r="D50" s="388"/>
      <c r="E50" s="389"/>
      <c r="F50" s="55"/>
      <c r="G50" s="390"/>
      <c r="H50" s="391"/>
      <c r="I50" s="391"/>
      <c r="J50" s="392"/>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Zinn  (*)</v>
      </c>
      <c r="C51" s="13"/>
      <c r="D51" s="388" t="s">
        <v>490</v>
      </c>
      <c r="E51" s="389"/>
      <c r="F51" s="55"/>
      <c r="G51" s="390"/>
      <c r="H51" s="391"/>
      <c r="I51" s="391"/>
      <c r="J51" s="392"/>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8" t="s">
        <v>490</v>
      </c>
      <c r="E52" s="389"/>
      <c r="F52" s="55"/>
      <c r="G52" s="390"/>
      <c r="H52" s="391"/>
      <c r="I52" s="391"/>
      <c r="J52" s="392"/>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Wolfram  </v>
      </c>
      <c r="C53" s="13"/>
      <c r="D53" s="388"/>
      <c r="E53" s="389"/>
      <c r="F53" s="55"/>
      <c r="G53" s="390"/>
      <c r="H53" s="391"/>
      <c r="I53" s="391"/>
      <c r="J53" s="392"/>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Wie hoch ist der Prozentsatz an Lieferanten, die auf Ihre Lieferkettenumfrage geantwortet haben? (*)</v>
      </c>
      <c r="C55" s="13"/>
      <c r="D55" s="397" t="str">
        <f ca="1">D25</f>
        <v>Antwort</v>
      </c>
      <c r="E55" s="397"/>
      <c r="F55" s="21"/>
      <c r="G55" s="52" t="str">
        <f ca="1">G25</f>
        <v>Kommentare</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  </v>
      </c>
      <c r="C56" s="43"/>
      <c r="D56" s="409"/>
      <c r="E56" s="410"/>
      <c r="F56" s="55"/>
      <c r="G56" s="390"/>
      <c r="H56" s="391"/>
      <c r="I56" s="391"/>
      <c r="J56" s="392"/>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Zinn  (*)</v>
      </c>
      <c r="C57" s="43"/>
      <c r="D57" s="409" t="s">
        <v>2504</v>
      </c>
      <c r="E57" s="410"/>
      <c r="F57" s="55"/>
      <c r="G57" s="390"/>
      <c r="H57" s="391"/>
      <c r="I57" s="391"/>
      <c r="J57" s="392"/>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09" t="s">
        <v>2504</v>
      </c>
      <c r="E58" s="410"/>
      <c r="F58" s="55"/>
      <c r="G58" s="390"/>
      <c r="H58" s="391"/>
      <c r="I58" s="391"/>
      <c r="J58" s="392"/>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Wolfram  </v>
      </c>
      <c r="C59" s="43"/>
      <c r="D59" s="409"/>
      <c r="E59" s="410"/>
      <c r="F59" s="55"/>
      <c r="G59" s="390"/>
      <c r="H59" s="391"/>
      <c r="I59" s="391"/>
      <c r="J59" s="392"/>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Haben Sie alle Schmelzhütten ermittelt, die das 3TG-Mineral für Ihre Lieferkette bereitstellen?  (*)</v>
      </c>
      <c r="C61" s="13"/>
      <c r="D61" s="397" t="str">
        <f ca="1">D25</f>
        <v>Antwort</v>
      </c>
      <c r="E61" s="397"/>
      <c r="F61" s="21"/>
      <c r="G61" s="52" t="str">
        <f ca="1">G25</f>
        <v>Kommentare</v>
      </c>
      <c r="H61" s="394"/>
      <c r="I61" s="394"/>
      <c r="J61" s="394"/>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  </v>
      </c>
      <c r="C62" s="13"/>
      <c r="D62" s="407"/>
      <c r="E62" s="408"/>
      <c r="F62" s="55"/>
      <c r="G62" s="390"/>
      <c r="H62" s="391"/>
      <c r="I62" s="391"/>
      <c r="J62" s="392"/>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Zinn  (*)</v>
      </c>
      <c r="C63" s="13"/>
      <c r="D63" s="388" t="s">
        <v>488</v>
      </c>
      <c r="E63" s="389"/>
      <c r="F63" s="55"/>
      <c r="G63" s="390"/>
      <c r="H63" s="391"/>
      <c r="I63" s="391"/>
      <c r="J63" s="392"/>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8" t="s">
        <v>488</v>
      </c>
      <c r="E64" s="389"/>
      <c r="F64" s="55"/>
      <c r="G64" s="390"/>
      <c r="H64" s="391"/>
      <c r="I64" s="391"/>
      <c r="J64" s="392"/>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Wolfram  </v>
      </c>
      <c r="C65" s="13"/>
      <c r="D65" s="388"/>
      <c r="E65" s="389"/>
      <c r="F65" s="55"/>
      <c r="G65" s="390"/>
      <c r="H65" s="391"/>
      <c r="I65" s="391"/>
      <c r="J65" s="392"/>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Haben Sie alle relevanten Informationen, die Ihr Unternehmen zu den Schmelzhütten erhalten hat, in dieser Erklärung aufgeführt?  (*)</v>
      </c>
      <c r="C67" s="13"/>
      <c r="D67" s="397" t="str">
        <f ca="1">D25</f>
        <v>Antwort</v>
      </c>
      <c r="E67" s="397"/>
      <c r="F67" s="21"/>
      <c r="G67" s="52" t="str">
        <f ca="1">G25</f>
        <v>Kommentare</v>
      </c>
      <c r="H67" s="394" t="str">
        <f>IF(Q75="(*)","Click here to enter smelter names","")</f>
        <v/>
      </c>
      <c r="I67" s="394"/>
      <c r="J67" s="394"/>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  </v>
      </c>
      <c r="C68" s="43"/>
      <c r="D68" s="388"/>
      <c r="E68" s="389"/>
      <c r="F68" s="56"/>
      <c r="G68" s="390"/>
      <c r="H68" s="391"/>
      <c r="I68" s="391"/>
      <c r="J68" s="392"/>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Zinn  (*)</v>
      </c>
      <c r="C69" s="43"/>
      <c r="D69" s="388" t="s">
        <v>488</v>
      </c>
      <c r="E69" s="389"/>
      <c r="F69" s="56"/>
      <c r="G69" s="390"/>
      <c r="H69" s="391"/>
      <c r="I69" s="391"/>
      <c r="J69" s="392"/>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8" t="s">
        <v>488</v>
      </c>
      <c r="E70" s="389"/>
      <c r="F70" s="56"/>
      <c r="G70" s="390"/>
      <c r="H70" s="391"/>
      <c r="I70" s="391"/>
      <c r="J70" s="392"/>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Wolfram  </v>
      </c>
      <c r="C71" s="57"/>
      <c r="D71" s="388"/>
      <c r="E71" s="389"/>
      <c r="F71" s="58"/>
      <c r="G71" s="390"/>
      <c r="H71" s="391"/>
      <c r="I71" s="391"/>
      <c r="J71" s="392"/>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3" t="str">
        <f ca="1">OFFSET(L!$C$1,MATCH("Declaration"&amp;ADDRESS(ROW(),COLUMN(),4),L!$A:$A,0)-1,SL,,)</f>
        <v>Beantworten Sie folgende Fragen auf Firmenebene</v>
      </c>
      <c r="C73" s="393"/>
      <c r="D73" s="393"/>
      <c r="E73" s="393"/>
      <c r="F73" s="393"/>
      <c r="G73" s="393"/>
      <c r="H73" s="393"/>
      <c r="I73" s="393"/>
      <c r="J73" s="393"/>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Frage</v>
      </c>
      <c r="C74" s="91"/>
      <c r="D74" s="395" t="str">
        <f ca="1">D25</f>
        <v>Antwort</v>
      </c>
      <c r="E74" s="395"/>
      <c r="F74" s="61"/>
      <c r="G74" s="395" t="str">
        <f ca="1">G25</f>
        <v>Kommentare</v>
      </c>
      <c r="H74" s="395" t="e">
        <f>HLOOKUP(SL,LT,$O74,0)</f>
        <v>#NAME?</v>
      </c>
      <c r="I74" s="395"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Haben Sie eine konfliktfreie Beschaffungsrichtlinie für Mineralien erstellt? (*)</v>
      </c>
      <c r="C75" s="65"/>
      <c r="D75" s="388" t="s">
        <v>489</v>
      </c>
      <c r="E75" s="389"/>
      <c r="F75" s="65"/>
      <c r="G75" s="390"/>
      <c r="H75" s="391"/>
      <c r="I75" s="391"/>
      <c r="J75" s="392"/>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6"/>
      <c r="H76" s="396"/>
      <c r="I76" s="396"/>
      <c r="J76" s="396"/>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Ist Ihre konfliktfreie Beschaffungsrichtlinie für Mineralien auf Ihrer Website einsehbar? (Hinweis - Wenn „Ja“, sollte der Benutzer die URL im Anmerkungsfeld angeben.) (*)</v>
      </c>
      <c r="C77" s="65"/>
      <c r="D77" s="388" t="s">
        <v>489</v>
      </c>
      <c r="E77" s="389"/>
      <c r="F77" s="65"/>
      <c r="G77" s="416"/>
      <c r="H77" s="417"/>
      <c r="I77" s="417"/>
      <c r="J77" s="418"/>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Verlangen Sie von Ihren direkten Lieferanten, das 3TG-Mineral ausschließlich von Schmelzhütten zu beziehen, deren Sorgfaltspflichts-Praktiken von einer unabhängigen Instanz überprüft wurden? (*)</v>
      </c>
      <c r="C79" s="65"/>
      <c r="D79" s="388" t="s">
        <v>489</v>
      </c>
      <c r="E79" s="389"/>
      <c r="F79" s="65"/>
      <c r="G79" s="390"/>
      <c r="H79" s="391"/>
      <c r="I79" s="391"/>
      <c r="J79" s="392"/>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Haben Sie Sorgfaltspflichtmaßnahmen für die konfliktfreie Beschaffung in Kraft gesetzt? (*)</v>
      </c>
      <c r="C81" s="65"/>
      <c r="D81" s="388" t="s">
        <v>489</v>
      </c>
      <c r="E81" s="389"/>
      <c r="F81" s="65"/>
      <c r="G81" s="390"/>
      <c r="H81" s="391"/>
      <c r="I81" s="391"/>
      <c r="J81" s="392"/>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Veranstaltet Ihr Unternehmen (eine) Konfliktmineralienumfrage(n) mit seinen entsprechenden Lieferanten? (*)</v>
      </c>
      <c r="C83" s="65"/>
      <c r="D83" s="388" t="s">
        <v>15082</v>
      </c>
      <c r="E83" s="389"/>
      <c r="F83" s="65"/>
      <c r="G83" s="390"/>
      <c r="H83" s="391"/>
      <c r="I83" s="391"/>
      <c r="J83" s="392"/>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Überprüfen Sie die Sorgfaltspflichts-Informationen, die Sie von ihren Lieferanten erhalten, anhand der Erwartungen Ihres Unternehmens? (*)</v>
      </c>
      <c r="C85" s="65"/>
      <c r="D85" s="401" t="s">
        <v>488</v>
      </c>
      <c r="E85" s="402"/>
      <c r="F85" s="65"/>
      <c r="G85" s="390"/>
      <c r="H85" s="391"/>
      <c r="I85" s="391"/>
      <c r="J85" s="392"/>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6"/>
      <c r="H86" s="396"/>
      <c r="I86" s="396"/>
      <c r="J86" s="396"/>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Sieht Ihr Review-Prozess ein Korrekturmaßnahmen-Management vor? (*)</v>
      </c>
      <c r="C87" s="65"/>
      <c r="D87" s="388" t="s">
        <v>488</v>
      </c>
      <c r="E87" s="389"/>
      <c r="F87" s="65"/>
      <c r="G87" s="390"/>
      <c r="H87" s="391"/>
      <c r="I87" s="391"/>
      <c r="J87" s="392"/>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3"/>
      <c r="H88" s="403"/>
      <c r="I88" s="403"/>
      <c r="J88" s="403"/>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1.5">
      <c r="A89" s="49"/>
      <c r="B89" s="64" t="str">
        <f ca="1">OFFSET(L!$C$1,MATCH("Declaration"&amp;ADDRESS(ROW(),COLUMN(),4),L!$A:$A,0)-1,SL,,)&amp;$Q$37</f>
        <v>H. Ist Ihr Unternehmen zu einer jährlichen Offenlegung der Konfliktmineralien verpflichtet? (*)</v>
      </c>
      <c r="C89" s="65"/>
      <c r="D89" s="388" t="s">
        <v>489</v>
      </c>
      <c r="E89" s="389"/>
      <c r="F89" s="65"/>
      <c r="G89" s="390"/>
      <c r="H89" s="391"/>
      <c r="I89" s="391"/>
      <c r="J89" s="392"/>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0" t="str">
        <f>IF(OR($D$8="",$I$3=""),"","Click here to check required fields completion")</f>
        <v/>
      </c>
      <c r="C90" s="400"/>
      <c r="D90" s="400"/>
      <c r="E90" s="400"/>
      <c r="F90" s="400"/>
      <c r="G90" s="400"/>
      <c r="H90" s="400"/>
      <c r="I90" s="400"/>
      <c r="J90" s="400"/>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8" t="str">
        <f ca="1">OFFSET(L!$C$1,MATCH("General"&amp;"Cpy",L!$A:$A,0)-1,SL,,)</f>
        <v>© 2022 Responsible Minerals Initiative. All rights reserved.</v>
      </c>
      <c r="B91" s="399"/>
      <c r="C91" s="399"/>
      <c r="D91" s="399"/>
      <c r="E91" s="399"/>
      <c r="F91" s="399"/>
      <c r="G91" s="399"/>
      <c r="H91" s="399"/>
      <c r="I91" s="399"/>
      <c r="J91" s="399"/>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124" priority="64" stopIfTrue="1">
      <formula>AND(OR($D$26="No",AND($D$26="Yes",$D$32="No")),OR($D$27="No",AND($D$27="Yes",$D$33="No")),OR($D$28="No",AND($D$28="Yes",$D$34="No")),OR($D$29="No",AND($D$29="Yes",$D$35="No")))</formula>
    </cfRule>
    <cfRule type="expression" dxfId="123" priority="65" stopIfTrue="1">
      <formula>IF(D75="",TRUE)</formula>
    </cfRule>
  </conditionalFormatting>
  <conditionalFormatting sqref="G77:J77">
    <cfRule type="expression" dxfId="122" priority="36" stopIfTrue="1">
      <formula>IF(AND($D$77="Yes",$G$77=""),TRUE)</formula>
    </cfRule>
  </conditionalFormatting>
  <conditionalFormatting sqref="D26:E26">
    <cfRule type="expression" dxfId="121" priority="116" stopIfTrue="1">
      <formula>IF($D$26="",TRUE)</formula>
    </cfRule>
  </conditionalFormatting>
  <conditionalFormatting sqref="D27:E27">
    <cfRule type="expression" dxfId="120" priority="123" stopIfTrue="1">
      <formula>IF($D$27="",TRUE)</formula>
    </cfRule>
  </conditionalFormatting>
  <conditionalFormatting sqref="D28:E28">
    <cfRule type="expression" dxfId="119" priority="124" stopIfTrue="1">
      <formula>IF($D$28="",TRUE)</formula>
    </cfRule>
  </conditionalFormatting>
  <conditionalFormatting sqref="D29:E29">
    <cfRule type="expression" dxfId="118" priority="125" stopIfTrue="1">
      <formula>IF($D$29="",TRUE)</formula>
    </cfRule>
  </conditionalFormatting>
  <conditionalFormatting sqref="D8:J8">
    <cfRule type="expression" dxfId="117" priority="130" stopIfTrue="1">
      <formula>IF($D$8="",TRUE)</formula>
    </cfRule>
  </conditionalFormatting>
  <conditionalFormatting sqref="D9:G9">
    <cfRule type="expression" dxfId="116" priority="131" stopIfTrue="1">
      <formula>IF($D$9="",TRUE)</formula>
    </cfRule>
  </conditionalFormatting>
  <conditionalFormatting sqref="D15:J15">
    <cfRule type="expression" dxfId="115" priority="132" stopIfTrue="1">
      <formula>IF($D$15="",TRUE)</formula>
    </cfRule>
  </conditionalFormatting>
  <conditionalFormatting sqref="D16:J16">
    <cfRule type="expression" dxfId="114" priority="133" stopIfTrue="1">
      <formula>IF($D$16="",TRUE)</formula>
    </cfRule>
  </conditionalFormatting>
  <conditionalFormatting sqref="D17:J17">
    <cfRule type="expression" dxfId="113" priority="1" stopIfTrue="1">
      <formula>IF($D$17="",TRUE)</formula>
    </cfRule>
  </conditionalFormatting>
  <conditionalFormatting sqref="D22:E22">
    <cfRule type="expression" dxfId="112" priority="138" stopIfTrue="1">
      <formula>IF($D$22="",TRUE)</formula>
    </cfRule>
  </conditionalFormatting>
  <conditionalFormatting sqref="D10:J10">
    <cfRule type="expression" dxfId="111" priority="35" stopIfTrue="1">
      <formula>IF($D$9=$Q$9,TRUE)</formula>
    </cfRule>
    <cfRule type="expression" dxfId="110" priority="145" stopIfTrue="1">
      <formula>IF(AND($D$10="",$D$9=$R$9),TRUE)</formula>
    </cfRule>
  </conditionalFormatting>
  <conditionalFormatting sqref="D34:E34 D40:E40 D52:E52 D58:E58 D64:E64 D70:E70">
    <cfRule type="expression" dxfId="109" priority="28" stopIfTrue="1">
      <formula>$P$28=""</formula>
    </cfRule>
  </conditionalFormatting>
  <conditionalFormatting sqref="D35:E35 D41:E41 D53:E53 D59:E59 D65:E65 D71:E71">
    <cfRule type="expression" dxfId="108" priority="143" stopIfTrue="1">
      <formula>$P$29=""</formula>
    </cfRule>
  </conditionalFormatting>
  <conditionalFormatting sqref="D32:E32">
    <cfRule type="expression" dxfId="107" priority="121" stopIfTrue="1">
      <formula>$P$26=""</formula>
    </cfRule>
  </conditionalFormatting>
  <conditionalFormatting sqref="D32:E32">
    <cfRule type="expression" dxfId="106" priority="34" stopIfTrue="1">
      <formula>IF(AND(OR($D$26="Yes",$D$26=""),$D$32=""),1,0)</formula>
    </cfRule>
  </conditionalFormatting>
  <conditionalFormatting sqref="D38 D50 D56 D62 D68">
    <cfRule type="expression" dxfId="105" priority="30" stopIfTrue="1">
      <formula>$P$32=""</formula>
    </cfRule>
  </conditionalFormatting>
  <conditionalFormatting sqref="D39:E39 D51 D57 D63 D69">
    <cfRule type="expression" dxfId="104" priority="29" stopIfTrue="1">
      <formula>$P$33=""</formula>
    </cfRule>
  </conditionalFormatting>
  <conditionalFormatting sqref="D40 D52 D58 D64 D70">
    <cfRule type="expression" dxfId="103" priority="19" stopIfTrue="1">
      <formula>$P$34=""</formula>
    </cfRule>
    <cfRule type="expression" dxfId="102" priority="141" stopIfTrue="1">
      <formula>IF(AND(OR($D$28="Yes",$D$28=""),D40=""),1,0)</formula>
    </cfRule>
  </conditionalFormatting>
  <conditionalFormatting sqref="D41 D53 D59 D65 D71">
    <cfRule type="expression" dxfId="101" priority="27" stopIfTrue="1">
      <formula>$P$35=""</formula>
    </cfRule>
  </conditionalFormatting>
  <conditionalFormatting sqref="D38:E38 D50:E50 D56:E56 D62:E62 D68:E68">
    <cfRule type="expression" dxfId="100" priority="32" stopIfTrue="1">
      <formula>$P$26=""</formula>
    </cfRule>
    <cfRule type="expression" dxfId="99" priority="33" stopIfTrue="1">
      <formula>IF(AND(OR($D$26="Yes",$D$26=""),D38=""),1,0)</formula>
    </cfRule>
  </conditionalFormatting>
  <conditionalFormatting sqref="G85:J85">
    <cfRule type="expression" dxfId="98" priority="26" stopIfTrue="1">
      <formula>IF(AND($D$85="Yes, using other format (describe)",$G$85=""),TRUE)</formula>
    </cfRule>
  </conditionalFormatting>
  <conditionalFormatting sqref="D39:E39 D51:E51 D57:E57 D63:E63 D69:E69">
    <cfRule type="expression" dxfId="97" priority="139" stopIfTrue="1">
      <formula>$P$39=""</formula>
    </cfRule>
    <cfRule type="expression" dxfId="96" priority="140" stopIfTrue="1">
      <formula>IF(AND(OR($D$27="Yes",$D$27=""),D39=""),1,0)</formula>
    </cfRule>
  </conditionalFormatting>
  <conditionalFormatting sqref="D33:E33">
    <cfRule type="expression" dxfId="95" priority="21" stopIfTrue="1">
      <formula>IF(AND(OR($D$27="Yes",$D$27=""),$D$33=""),1,0)</formula>
    </cfRule>
    <cfRule type="expression" dxfId="94" priority="22" stopIfTrue="1">
      <formula>$P$27=""</formula>
    </cfRule>
  </conditionalFormatting>
  <conditionalFormatting sqref="D34:E34">
    <cfRule type="expression" dxfId="93" priority="142" stopIfTrue="1">
      <formula>IF(AND(OR($D$28="Yes",$D$28=""),$D$34=""),1,0)</formula>
    </cfRule>
  </conditionalFormatting>
  <conditionalFormatting sqref="D41:E41 D53:E53 D59:E59 D65:E65 D71:E71">
    <cfRule type="expression" dxfId="92" priority="144" stopIfTrue="1">
      <formula>IF(AND(OR($D$29="Yes",$D$29=""),D41=""),1,0)</formula>
    </cfRule>
  </conditionalFormatting>
  <conditionalFormatting sqref="D35:E35">
    <cfRule type="expression" dxfId="91" priority="18" stopIfTrue="1">
      <formula>IF(AND(OR($D$29="Yes",$D$29=""),$D$35=""),1,0)</formula>
    </cfRule>
  </conditionalFormatting>
  <conditionalFormatting sqref="D20:J20">
    <cfRule type="expression" dxfId="90" priority="14" stopIfTrue="1">
      <formula>IF($D$20="",TRUE)</formula>
    </cfRule>
  </conditionalFormatting>
  <conditionalFormatting sqref="D46:E46">
    <cfRule type="expression" dxfId="89" priority="4" stopIfTrue="1">
      <formula>$P$28=""</formula>
    </cfRule>
  </conditionalFormatting>
  <conditionalFormatting sqref="D47:E47">
    <cfRule type="expression" dxfId="88" priority="12" stopIfTrue="1">
      <formula>$P$29=""</formula>
    </cfRule>
  </conditionalFormatting>
  <conditionalFormatting sqref="D44">
    <cfRule type="expression" dxfId="87" priority="6" stopIfTrue="1">
      <formula>$P$32=""</formula>
    </cfRule>
  </conditionalFormatting>
  <conditionalFormatting sqref="D45">
    <cfRule type="expression" dxfId="86" priority="5" stopIfTrue="1">
      <formula>$P$33=""</formula>
    </cfRule>
  </conditionalFormatting>
  <conditionalFormatting sqref="D46">
    <cfRule type="expression" dxfId="85" priority="2" stopIfTrue="1">
      <formula>$P$34=""</formula>
    </cfRule>
    <cfRule type="expression" dxfId="84" priority="11" stopIfTrue="1">
      <formula>IF(AND(OR($D$28="Yes",$D$28=""),D46=""),1,0)</formula>
    </cfRule>
  </conditionalFormatting>
  <conditionalFormatting sqref="D47">
    <cfRule type="expression" dxfId="83" priority="3" stopIfTrue="1">
      <formula>$P$35=""</formula>
    </cfRule>
  </conditionalFormatting>
  <conditionalFormatting sqref="D44:E44">
    <cfRule type="expression" dxfId="82" priority="7" stopIfTrue="1">
      <formula>$P$26=""</formula>
    </cfRule>
    <cfRule type="expression" dxfId="81" priority="8" stopIfTrue="1">
      <formula>IF(AND(OR($D$26="Yes",$D$26=""),D44=""),1,0)</formula>
    </cfRule>
  </conditionalFormatting>
  <conditionalFormatting sqref="D45:E45">
    <cfRule type="expression" dxfId="80" priority="9" stopIfTrue="1">
      <formula>$P$39=""</formula>
    </cfRule>
    <cfRule type="expression" dxfId="79" priority="10" stopIfTrue="1">
      <formula>IF(AND(OR($D$27="Yes",$D$27=""),D45=""),1,0)</formula>
    </cfRule>
  </conditionalFormatting>
  <conditionalFormatting sqref="D47:E47">
    <cfRule type="expression" dxfId="78" priority="13" stopIfTrue="1">
      <formula>IF(AND(OR($D$29="Yes",$D$29=""),D47=""),1,0)</formula>
    </cfRule>
  </conditionalFormatting>
  <conditionalFormatting sqref="D18:J18">
    <cfRule type="expression" dxfId="7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C6" sqref="C6"/>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UM ZU BEGINNEN:</v>
      </c>
      <c r="C2" s="196"/>
      <c r="D2" s="196"/>
      <c r="E2" s="196"/>
      <c r="F2" s="222"/>
      <c r="G2" s="222"/>
      <c r="H2" s="222"/>
      <c r="I2" s="223"/>
      <c r="J2" s="449" t="str">
        <f ca="1">OFFSET(L!$C$1,MATCH("Smelter List"&amp;ADDRESS(ROW(),COLUMN(),4),L!$A:$A,0)-1,SL,,)</f>
        <v>Link zur "RMAP Conformant Smelter"- Liste</v>
      </c>
      <c r="K2" s="450"/>
      <c r="L2" s="450"/>
      <c r="M2" s="450"/>
      <c r="N2" s="450"/>
      <c r="O2" s="450"/>
      <c r="P2" s="224"/>
      <c r="Q2" s="225"/>
      <c r="R2" s="226"/>
      <c r="S2" s="226"/>
      <c r="T2" s="226"/>
      <c r="U2" s="254"/>
      <c r="V2" s="254"/>
      <c r="W2" s="255"/>
      <c r="X2" s="254"/>
      <c r="Y2" s="254"/>
      <c r="Z2" s="254"/>
      <c r="AH2" s="167" t="s">
        <v>488</v>
      </c>
    </row>
    <row r="3" spans="1:34" s="256" customFormat="1" ht="173.45" customHeight="1">
      <c r="A3" s="195"/>
      <c r="B3" s="451"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51"/>
      <c r="D3" s="451"/>
      <c r="E3" s="451"/>
      <c r="F3" s="257"/>
      <c r="G3" s="452" t="str">
        <f ca="1">OFFSET(L!$C$1,MATCH("General"&amp;"Cpy",L!$A:$A,0)-1,SL,,)</f>
        <v>© 2022 Responsible Minerals Initiative. All rights reserved.</v>
      </c>
      <c r="H3" s="452"/>
      <c r="I3" s="453"/>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 xml:space="preserve">Eingabespalte Schmelzhüttenidentifizierungsnummer </v>
      </c>
      <c r="B4" s="249" t="str">
        <f ca="1">OFFSET(L!$C$1,MATCH("Smelter List"&amp;ADDRESS(ROW(),COLUMN(),4),L!$A:$A,0)-1,SL,,)</f>
        <v>Metall (1)</v>
      </c>
      <c r="C4" s="249" t="str">
        <f ca="1">OFFSET(L!$C$1,MATCH("Smelter List"&amp;ADDRESS(ROW(),COLUMN(),4),L!$A:$A,0)-1,SL,,)</f>
        <v>Schmelzhüttensuche (*)</v>
      </c>
      <c r="D4" s="249" t="str">
        <f ca="1">OFFSET(L!$C$1,MATCH("Smelter List"&amp;ADDRESS(ROW(),COLUMN(),4),L!$A:$A,0)-1,SL,,)</f>
        <v>Schmelzhüttenname (1)</v>
      </c>
      <c r="E4" s="249" t="str">
        <f ca="1">OFFSET(L!$C$1,MATCH("Smelter List"&amp;ADDRESS(ROW(),COLUMN(),4),L!$A:$A,0)-1,SL,,)</f>
        <v>Schmelzhütten: Land (*)</v>
      </c>
      <c r="F4" s="249" t="str">
        <f ca="1">OFFSET(L!$C$1,MATCH("Smelter List"&amp;ADDRESS(ROW(),COLUMN(),4),L!$A:$A,0)-1,SL,,)</f>
        <v>Schmelzhütte Identifizierung</v>
      </c>
      <c r="G4" s="249" t="str">
        <f ca="1">OFFSET(L!$C$1,MATCH("Smelter List"&amp;ADDRESS(ROW(),COLUMN(),4),L!$A:$A,0)-1,SL,,)</f>
        <v>Quelle der Schmelzhütte Id-Nummer</v>
      </c>
      <c r="H4" s="166" t="str">
        <f ca="1">OFFSET(L!$C$1,MATCH("Smelter List"&amp;ADDRESS(ROW(),COLUMN(),4),L!$A:$A,0)-1,SL,,)</f>
        <v>Schmelzhütten: Straße</v>
      </c>
      <c r="I4" s="166" t="str">
        <f ca="1">OFFSET(L!$C$1,MATCH("Smelter List"&amp;ADDRESS(ROW(),COLUMN(),4),L!$A:$A,0)-1,SL,,)</f>
        <v>Schmelzhütten: Stadt</v>
      </c>
      <c r="J4" s="166" t="str">
        <f ca="1">OFFSET(L!$C$1,MATCH("Smelter List"&amp;ADDRESS(ROW(),COLUMN(),4),L!$A:$A,0)-1,SL,,)</f>
        <v>Schmelzhütten: Bundesland/Provinz</v>
      </c>
      <c r="K4" s="166" t="str">
        <f ca="1">OFFSET(L!$C$1,MATCH("Smelter List"&amp;ADDRESS(ROW(),COLUMN(),4),L!$A:$A,0)-1,SL,,)</f>
        <v xml:space="preserve">Schmelzhütten-Ansprechpartner: Name </v>
      </c>
      <c r="L4" s="166" t="str">
        <f ca="1">OFFSET(L!$C$1,MATCH("Smelter List"&amp;ADDRESS(ROW(),COLUMN(),4),L!$A:$A,0)-1,SL,,)</f>
        <v>Schmelzhütten-Ansprechpartner: E-mail</v>
      </c>
      <c r="M4" s="166" t="str">
        <f ca="1">OFFSET(L!$C$1,MATCH("Smelter List"&amp;ADDRESS(ROW(),COLUMN(),4),L!$A:$A,0)-1,SL,,)</f>
        <v>Vorgeschlagenen nächsten Schritte</v>
      </c>
      <c r="N4" s="166" t="str">
        <f ca="1">OFFSET(L!$C$1,MATCH("Smelter List"&amp;ADDRESS(ROW(),COLUMN(),4),L!$A:$A,0)-1,SL,,)</f>
        <v>Name der Mine(n) oder falls aus Recycling oder Schrott, tragen Sie "recycled" oder "Schrott" ein</v>
      </c>
      <c r="O4" s="166" t="str">
        <f ca="1">OFFSET(L!$C$1,MATCH("Smelter List"&amp;ADDRESS(ROW(),COLUMN(),4),L!$A:$A,0)-1,SL,,)</f>
        <v>Standort (Land) von Minen, falls aus Recycling oder Schrott gekauft, geben Sie "recycled" oder "Schrott" ein</v>
      </c>
      <c r="P4" s="166" t="str">
        <f ca="1">OFFSET(L!$C$1,MATCH("Smelter List"&amp;ADDRESS(ROW(),COLUMN(),4),L!$A:$A,0)-1,SL,,)</f>
        <v>Stammen 100% der Ausgangsstoffe der Schmelzhütte aus Recycling oder Schrott?</v>
      </c>
      <c r="Q4" s="167" t="str">
        <f ca="1">OFFSET(L!$C$1,MATCH("Smelter List"&amp;ADDRESS(ROW(),COLUMN(),4),L!$A:$A,0)-1,SL,,)</f>
        <v>Kommentare</v>
      </c>
      <c r="R4" s="249" t="s">
        <v>12499</v>
      </c>
      <c r="S4" s="249" t="s">
        <v>12482</v>
      </c>
      <c r="T4" s="249" t="s">
        <v>12483</v>
      </c>
      <c r="U4" s="229"/>
      <c r="V4" s="183"/>
      <c r="W4" s="183" t="s">
        <v>1324</v>
      </c>
      <c r="X4" s="183" t="s">
        <v>942</v>
      </c>
      <c r="Y4" s="183"/>
      <c r="Z4" s="183"/>
      <c r="AH4" s="167" t="s">
        <v>490</v>
      </c>
    </row>
    <row r="5" spans="1:34" s="264" customFormat="1" ht="51">
      <c r="A5" s="208" t="s">
        <v>685</v>
      </c>
      <c r="B5" s="208" t="s">
        <v>1130</v>
      </c>
      <c r="C5" s="212" t="s">
        <v>1235</v>
      </c>
      <c r="D5" s="270"/>
      <c r="E5" s="208" t="str">
        <f ca="1">IF(ISERROR($V5),"",OFFSET('Smelter Look-up'!$D$4,$V5-4,0)&amp;"")</f>
        <v>TURKEY</v>
      </c>
      <c r="F5" s="208" t="str">
        <f ca="1">IF(ISERROR($V5),"",OFFSET('Smelter Look-up'!$E$4,$V5-4,0))</f>
        <v>CID000814</v>
      </c>
      <c r="G5" s="208" t="str">
        <f ca="1">IF(C5=$X$4,IF(ISERROR($V5),"Enter smelter details","RMI"),IF(ISERROR($V5),"",OFFSET('Smelter Look-up'!$F$4,$V5-4,0)))</f>
        <v>RMI</v>
      </c>
      <c r="H5" s="209">
        <f ca="1">IF(ISERROR($V5),"",OFFSET('Smelter Look-up'!$G$4,$V5-4,0))</f>
        <v>0</v>
      </c>
      <c r="I5" s="210" t="str">
        <f ca="1">IF(ISERROR($V5),"",OFFSET('Smelter Look-up'!$H$4,$V5-4,0))</f>
        <v>Kuyumcukent</v>
      </c>
      <c r="J5" s="210" t="str">
        <f ca="1">IF(ISERROR($V5),"",OFFSET('Smelter Look-up'!$I$4,$V5-4,0))</f>
        <v>İstanbul</v>
      </c>
      <c r="K5" s="260"/>
      <c r="L5" s="260"/>
      <c r="M5" s="260"/>
      <c r="N5" s="260"/>
      <c r="O5" s="260"/>
      <c r="P5" s="211"/>
      <c r="Q5" s="261"/>
      <c r="R5" s="208" t="str">
        <f ca="1">IF(ISERROR($V5),"",OFFSET('Smelter Look-up'!$C$4,$V5-4,0)&amp;"")</f>
        <v>Istanbul Gold Refinery</v>
      </c>
      <c r="S5" s="215" t="str">
        <f t="shared" ref="S5" ca="1" si="0">IF(B5="","",IF(ISERROR(MATCH($E5,CL,0)),"Unknown",INDIRECT("'C'!$A$"&amp;MATCH($E5,CL,0)+1)))</f>
        <v>TR</v>
      </c>
      <c r="T5" s="215" t="str">
        <f ca="1">IF(B5="","",IF(ISERROR(MATCH($J5,SorP!$B$1:$B$6230,0)),"",INDIRECT("'SorP'!$A$"&amp;MATCH($J5,SorP!$B$1:$B$6230,0))))</f>
        <v>TR-34</v>
      </c>
      <c r="U5" s="231"/>
      <c r="V5" s="262">
        <f>IF(C5="",NA(),IF(OR(C5="Smelter not listed",C5="Smelter not yet identified"),MATCH($B5&amp;$D5,'Smelter Look-up'!$J:$J,0),MATCH($B5&amp;$C5,'Smelter Look-up'!$J:$J,0)))</f>
        <v>120</v>
      </c>
      <c r="W5" s="263"/>
      <c r="X5" s="263">
        <f t="shared" ref="X5" ca="1" si="1">IF(AND(C5="Smelter not listed",OR(LEN(D5)=0,LEN(E5)=0)),1,0)</f>
        <v>0</v>
      </c>
      <c r="Y5" s="263"/>
      <c r="Z5" s="263"/>
      <c r="AB5" s="265" t="str">
        <f t="shared" ref="AB5" si="2">B5&amp;C5</f>
        <v>GoldIstanbul Gold Refinery</v>
      </c>
    </row>
    <row r="6" spans="1:34" s="264" customFormat="1" ht="63.75">
      <c r="A6" s="208" t="s">
        <v>688</v>
      </c>
      <c r="B6" s="208" t="s">
        <v>1130</v>
      </c>
      <c r="C6" s="212" t="s">
        <v>2215</v>
      </c>
      <c r="D6" s="270"/>
      <c r="E6" s="208" t="str">
        <f ca="1">IF(ISERROR($V6),"",OFFSET('Smelter Look-up'!$D$4,$V6-4,0)&amp;"")</f>
        <v>UNITED STATES OF AMERICA</v>
      </c>
      <c r="F6" s="208" t="str">
        <f ca="1">IF(ISERROR($V6),"",OFFSET('Smelter Look-up'!$E$4,$V6-4,0))</f>
        <v>CID000920</v>
      </c>
      <c r="G6" s="208" t="str">
        <f ca="1">IF(C6=$X$4,IF(ISERROR($V6),"Enter smelter details","RMI"),IF(ISERROR($V6),"",OFFSET('Smelter Look-up'!$F$4,$V6-4,0)))</f>
        <v>RMI</v>
      </c>
      <c r="H6" s="209">
        <f ca="1">IF(ISERROR($V6),"",OFFSET('Smelter Look-up'!$G$4,$V6-4,0))</f>
        <v>0</v>
      </c>
      <c r="I6" s="210" t="str">
        <f ca="1">IF(ISERROR($V6),"",OFFSET('Smelter Look-up'!$H$4,$V6-4,0))</f>
        <v>Salt Lake City</v>
      </c>
      <c r="J6" s="210" t="str">
        <f ca="1">IF(ISERROR($V6),"",OFFSET('Smelter Look-up'!$I$4,$V6-4,0))</f>
        <v>Utah</v>
      </c>
      <c r="K6" s="260"/>
      <c r="L6" s="260"/>
      <c r="M6" s="260"/>
      <c r="N6" s="260"/>
      <c r="O6" s="260"/>
      <c r="P6" s="211"/>
      <c r="Q6" s="261"/>
      <c r="R6" s="208" t="str">
        <f ca="1">IF(ISERROR($V6),"",OFFSET('Smelter Look-up'!$C$4,$V6-4,0)&amp;"")</f>
        <v>Asahi Refining USA Inc.</v>
      </c>
      <c r="S6" s="215" t="str">
        <f t="shared" ref="S6:S37" ca="1" si="3">IF(B6="","",IF(ISERROR(MATCH($E6,CL,0)),"Unknown",INDIRECT("'C'!$A$"&amp;MATCH($E6,CL,0)+1)))</f>
        <v>US</v>
      </c>
      <c r="T6" s="215" t="str">
        <f ca="1">IF(B6="","",IF(ISERROR(MATCH($J6,SorP!$B$1:$B$6230,0)),"",INDIRECT("'SorP'!$A$"&amp;MATCH($J6,SorP!$B$1:$B$6230,0))))</f>
        <v>US-UT</v>
      </c>
      <c r="U6" s="231"/>
      <c r="V6" s="262">
        <f>IF(C6="",NA(),IF(OR(C6="Smelter not listed",C6="Smelter not yet identified"),MATCH($B6&amp;$D6,'Smelter Look-up'!$J:$J,0),MATCH($B6&amp;$C6,'Smelter Look-up'!$J:$J,0)))</f>
        <v>31</v>
      </c>
      <c r="W6" s="263"/>
      <c r="X6" s="263">
        <f t="shared" ref="X6:X37" ca="1" si="4">IF(AND(C6="Smelter not listed",OR(LEN(D6)=0,LEN(E6)=0)),1,0)</f>
        <v>0</v>
      </c>
      <c r="Y6" s="263"/>
      <c r="Z6" s="263"/>
      <c r="AB6" s="265" t="str">
        <f t="shared" ref="AB6:AB37" si="5">B6&amp;C6</f>
        <v>GoldAsahi Refining USA Inc.</v>
      </c>
    </row>
    <row r="7" spans="1:34" s="264" customFormat="1" ht="19.899999999999999" customHeight="1">
      <c r="A7" s="208" t="s">
        <v>689</v>
      </c>
      <c r="B7" s="208" t="s">
        <v>1130</v>
      </c>
      <c r="C7" s="212" t="s">
        <v>2307</v>
      </c>
      <c r="D7" s="270"/>
      <c r="E7" s="208" t="str">
        <f ca="1">IF(ISERROR($V7),"",OFFSET('Smelter Look-up'!$D$4,$V7-4,0)&amp;"")</f>
        <v>CANADA</v>
      </c>
      <c r="F7" s="208" t="str">
        <f ca="1">IF(ISERROR($V7),"",OFFSET('Smelter Look-up'!$E$4,$V7-4,0))</f>
        <v>CID000924</v>
      </c>
      <c r="G7" s="208" t="str">
        <f ca="1">IF(C7=$X$4,IF(ISERROR($V7),"Enter smelter details","RMI"),IF(ISERROR($V7),"",OFFSET('Smelter Look-up'!$F$4,$V7-4,0)))</f>
        <v>RMI</v>
      </c>
      <c r="H7" s="209">
        <f ca="1">IF(ISERROR($V7),"",OFFSET('Smelter Look-up'!$G$4,$V7-4,0))</f>
        <v>0</v>
      </c>
      <c r="I7" s="210" t="str">
        <f ca="1">IF(ISERROR($V7),"",OFFSET('Smelter Look-up'!$H$4,$V7-4,0))</f>
        <v>Brampton</v>
      </c>
      <c r="J7" s="210" t="str">
        <f ca="1">IF(ISERROR($V7),"",OFFSET('Smelter Look-up'!$I$4,$V7-4,0))</f>
        <v>Ontario</v>
      </c>
      <c r="K7" s="260"/>
      <c r="L7" s="260"/>
      <c r="M7" s="260"/>
      <c r="N7" s="260"/>
      <c r="O7" s="260"/>
      <c r="P7" s="211"/>
      <c r="Q7" s="261"/>
      <c r="R7" s="208" t="str">
        <f ca="1">IF(ISERROR($V7),"",OFFSET('Smelter Look-up'!$C$4,$V7-4,0)&amp;"")</f>
        <v>Asahi Refining Canada Ltd.</v>
      </c>
      <c r="S7" s="215" t="str">
        <f t="shared" ca="1" si="3"/>
        <v>CA</v>
      </c>
      <c r="T7" s="215" t="str">
        <f ca="1">IF(B7="","",IF(ISERROR(MATCH($J7,SorP!$B$1:$B$6230,0)),"",INDIRECT("'SorP'!$A$"&amp;MATCH($J7,SorP!$B$1:$B$6230,0))))</f>
        <v>CA-ON</v>
      </c>
      <c r="U7" s="231"/>
      <c r="V7" s="262">
        <f>IF(C7="",NA(),IF(OR(C7="Smelter not listed",C7="Smelter not yet identified"),MATCH($B7&amp;$D7,'Smelter Look-up'!$J:$J,0),MATCH($B7&amp;$C7,'Smelter Look-up'!$J:$J,0)))</f>
        <v>30</v>
      </c>
      <c r="W7" s="263"/>
      <c r="X7" s="263">
        <f t="shared" ca="1" si="4"/>
        <v>0</v>
      </c>
      <c r="Y7" s="263"/>
      <c r="Z7" s="263"/>
      <c r="AB7" s="265" t="str">
        <f t="shared" si="5"/>
        <v>GoldAsahi Refining Canada Ltd.</v>
      </c>
    </row>
    <row r="8" spans="1:34" s="264" customFormat="1" ht="19.899999999999999" customHeight="1">
      <c r="A8" s="208" t="s">
        <v>728</v>
      </c>
      <c r="B8" s="208" t="s">
        <v>1130</v>
      </c>
      <c r="C8" s="212" t="s">
        <v>2174</v>
      </c>
      <c r="D8" s="270"/>
      <c r="E8" s="208" t="str">
        <f ca="1">IF(ISERROR($V8),"",OFFSET('Smelter Look-up'!$D$4,$V8-4,0)&amp;"")</f>
        <v>CHINA</v>
      </c>
      <c r="F8" s="208" t="str">
        <f ca="1">IF(ISERROR($V8),"",OFFSET('Smelter Look-up'!$E$4,$V8-4,0))</f>
        <v>CID001622</v>
      </c>
      <c r="G8" s="208" t="str">
        <f ca="1">IF(C8=$X$4,IF(ISERROR($V8),"Enter smelter details","RMI"),IF(ISERROR($V8),"",OFFSET('Smelter Look-up'!$F$4,$V8-4,0)))</f>
        <v>RMI</v>
      </c>
      <c r="H8" s="209">
        <f ca="1">IF(ISERROR($V8),"",OFFSET('Smelter Look-up'!$G$4,$V8-4,0))</f>
        <v>0</v>
      </c>
      <c r="I8" s="210" t="str">
        <f ca="1">IF(ISERROR($V8),"",OFFSET('Smelter Look-up'!$H$4,$V8-4,0))</f>
        <v>Zhaoyuan</v>
      </c>
      <c r="J8" s="210" t="str">
        <f ca="1">IF(ISERROR($V8),"",OFFSET('Smelter Look-up'!$I$4,$V8-4,0))</f>
        <v>Shandong Sheng</v>
      </c>
      <c r="K8" s="260"/>
      <c r="L8" s="260"/>
      <c r="M8" s="260"/>
      <c r="N8" s="260"/>
      <c r="O8" s="260"/>
      <c r="P8" s="211"/>
      <c r="Q8" s="261"/>
      <c r="R8" s="208" t="str">
        <f ca="1">IF(ISERROR($V8),"",OFFSET('Smelter Look-up'!$C$4,$V8-4,0)&amp;"")</f>
        <v>Shandong Zhaojin Gold &amp; Silver Refinery Co., Ltd.</v>
      </c>
      <c r="S8" s="215" t="str">
        <f t="shared" ca="1" si="3"/>
        <v>CN</v>
      </c>
      <c r="T8" s="215" t="str">
        <f ca="1">IF(B8="","",IF(ISERROR(MATCH($J8,SorP!$B$1:$B$6230,0)),"",INDIRECT("'SorP'!$A$"&amp;MATCH($J8,SorP!$B$1:$B$6230,0))))</f>
        <v>CN-SD</v>
      </c>
      <c r="U8" s="231"/>
      <c r="V8" s="262">
        <f>IF(C8="",NA(),IF(OR(C8="Smelter not listed",C8="Smelter not yet identified"),MATCH($B8&amp;$D8,'Smelter Look-up'!$J:$J,0),MATCH($B8&amp;$C8,'Smelter Look-up'!$J:$J,0)))</f>
        <v>246</v>
      </c>
      <c r="W8" s="263"/>
      <c r="X8" s="263">
        <f t="shared" ca="1" si="4"/>
        <v>0</v>
      </c>
      <c r="Y8" s="263"/>
      <c r="Z8" s="263"/>
      <c r="AB8" s="265" t="str">
        <f t="shared" si="5"/>
        <v>GoldShandong Zhaojin Gold &amp; Silver Refinery Co., Ltd.</v>
      </c>
    </row>
    <row r="9" spans="1:34" s="264" customFormat="1" ht="19.899999999999999" customHeight="1">
      <c r="A9" s="208" t="s">
        <v>732</v>
      </c>
      <c r="B9" s="208" t="s">
        <v>1130</v>
      </c>
      <c r="C9" s="212" t="s">
        <v>1233</v>
      </c>
      <c r="D9" s="270"/>
      <c r="E9" s="208" t="str">
        <f ca="1">IF(ISERROR($V9),"",OFFSET('Smelter Look-up'!$D$4,$V9-4,0)&amp;"")</f>
        <v>JAPAN</v>
      </c>
      <c r="F9" s="208" t="str">
        <f ca="1">IF(ISERROR($V9),"",OFFSET('Smelter Look-up'!$E$4,$V9-4,0))</f>
        <v>CID001875</v>
      </c>
      <c r="G9" s="208" t="str">
        <f ca="1">IF(C9=$X$4,IF(ISERROR($V9),"Enter smelter details","RMI"),IF(ISERROR($V9),"",OFFSET('Smelter Look-up'!$F$4,$V9-4,0)))</f>
        <v>RMI</v>
      </c>
      <c r="H9" s="209">
        <f ca="1">IF(ISERROR($V9),"",OFFSET('Smelter Look-up'!$G$4,$V9-4,0))</f>
        <v>0</v>
      </c>
      <c r="I9" s="210" t="str">
        <f ca="1">IF(ISERROR($V9),"",OFFSET('Smelter Look-up'!$H$4,$V9-4,0))</f>
        <v>Hiratsuka</v>
      </c>
      <c r="J9" s="210" t="str">
        <f ca="1">IF(ISERROR($V9),"",OFFSET('Smelter Look-up'!$I$4,$V9-4,0))</f>
        <v>Kanagawa</v>
      </c>
      <c r="K9" s="260"/>
      <c r="L9" s="260"/>
      <c r="M9" s="260"/>
      <c r="N9" s="260"/>
      <c r="O9" s="260"/>
      <c r="P9" s="211"/>
      <c r="Q9" s="261"/>
      <c r="R9" s="208" t="str">
        <f ca="1">IF(ISERROR($V9),"",OFFSET('Smelter Look-up'!$C$4,$V9-4,0)&amp;"")</f>
        <v>Tanaka Kikinzoku Kogyo K.K.</v>
      </c>
      <c r="S9" s="215" t="str">
        <f t="shared" ca="1" si="3"/>
        <v>JP</v>
      </c>
      <c r="T9" s="215" t="str">
        <f ca="1">IF(B9="","",IF(ISERROR(MATCH($J9,SorP!$B$1:$B$6230,0)),"",INDIRECT("'SorP'!$A$"&amp;MATCH($J9,SorP!$B$1:$B$6230,0))))</f>
        <v>JP-14</v>
      </c>
      <c r="U9" s="231"/>
      <c r="V9" s="262">
        <f>IF(C9="",NA(),IF(OR(C9="Smelter not listed",C9="Smelter not yet identified"),MATCH($B9&amp;$D9,'Smelter Look-up'!$J:$J,0),MATCH($B9&amp;$C9,'Smelter Look-up'!$J:$J,0)))</f>
        <v>278</v>
      </c>
      <c r="W9" s="263"/>
      <c r="X9" s="263">
        <f t="shared" ca="1" si="4"/>
        <v>0</v>
      </c>
      <c r="Y9" s="263"/>
      <c r="Z9" s="263"/>
      <c r="AB9" s="265" t="str">
        <f t="shared" si="5"/>
        <v>GoldTanaka Kikinzoku Kogyo K.K.</v>
      </c>
    </row>
    <row r="10" spans="1:34" s="264" customFormat="1" ht="102">
      <c r="A10" s="208" t="s">
        <v>738</v>
      </c>
      <c r="B10" s="208" t="s">
        <v>1130</v>
      </c>
      <c r="C10" s="212" t="s">
        <v>2354</v>
      </c>
      <c r="D10" s="270"/>
      <c r="E10" s="208" t="str">
        <f ca="1">IF(ISERROR($V10),"",OFFSET('Smelter Look-up'!$D$4,$V10-4,0)&amp;"")</f>
        <v>BELGIUM</v>
      </c>
      <c r="F10" s="208" t="str">
        <f ca="1">IF(ISERROR($V10),"",OFFSET('Smelter Look-up'!$E$4,$V10-4,0))</f>
        <v>CID001980</v>
      </c>
      <c r="G10" s="208" t="str">
        <f ca="1">IF(C10=$X$4,IF(ISERROR($V10),"Enter smelter details","RMI"),IF(ISERROR($V10),"",OFFSET('Smelter Look-up'!$F$4,$V10-4,0)))</f>
        <v>RMI</v>
      </c>
      <c r="H10" s="209">
        <f ca="1">IF(ISERROR($V10),"",OFFSET('Smelter Look-up'!$G$4,$V10-4,0))</f>
        <v>0</v>
      </c>
      <c r="I10" s="210" t="str">
        <f ca="1">IF(ISERROR($V10),"",OFFSET('Smelter Look-up'!$H$4,$V10-4,0))</f>
        <v>Hoboken</v>
      </c>
      <c r="J10" s="210" t="str">
        <f ca="1">IF(ISERROR($V10),"",OFFSET('Smelter Look-up'!$I$4,$V10-4,0))</f>
        <v>Antwerpen</v>
      </c>
      <c r="K10" s="260"/>
      <c r="L10" s="260"/>
      <c r="M10" s="260"/>
      <c r="N10" s="260"/>
      <c r="O10" s="260"/>
      <c r="P10" s="211"/>
      <c r="Q10" s="261"/>
      <c r="R10" s="208" t="str">
        <f ca="1">IF(ISERROR($V10),"",OFFSET('Smelter Look-up'!$C$4,$V10-4,0)&amp;"")</f>
        <v>Umicore S.A. Business Unit Precious Metals Refining</v>
      </c>
      <c r="S10" s="215" t="str">
        <f t="shared" ca="1" si="3"/>
        <v>BE</v>
      </c>
      <c r="T10" s="215" t="str">
        <f ca="1">IF(B10="","",IF(ISERROR(MATCH($J10,SorP!$B$1:$B$6230,0)),"",INDIRECT("'SorP'!$A$"&amp;MATCH($J10,SorP!$B$1:$B$6230,0))))</f>
        <v>BE-VAN</v>
      </c>
      <c r="U10" s="231"/>
      <c r="V10" s="262">
        <f>IF(C10="",NA(),IF(OR(C10="Smelter not listed",C10="Smelter not yet identified"),MATCH($B10&amp;$D10,'Smelter Look-up'!$J:$J,0),MATCH($B10&amp;$C10,'Smelter Look-up'!$J:$J,0)))</f>
        <v>293</v>
      </c>
      <c r="W10" s="263"/>
      <c r="X10" s="263">
        <f t="shared" ca="1" si="4"/>
        <v>0</v>
      </c>
      <c r="Y10" s="263"/>
      <c r="Z10" s="263"/>
      <c r="AB10" s="265" t="str">
        <f t="shared" si="5"/>
        <v>GoldUmicore S.A. Business Unit Precious Metals Refining</v>
      </c>
    </row>
    <row r="11" spans="1:34" s="264" customFormat="1" ht="19.899999999999999" customHeight="1">
      <c r="A11" s="208" t="s">
        <v>739</v>
      </c>
      <c r="B11" s="208" t="s">
        <v>1130</v>
      </c>
      <c r="C11" s="212" t="s">
        <v>820</v>
      </c>
      <c r="D11" s="270"/>
      <c r="E11" s="208" t="str">
        <f ca="1">IF(ISERROR($V11),"",OFFSET('Smelter Look-up'!$D$4,$V11-4,0)&amp;"")</f>
        <v>UNITED STATES OF AMERICA</v>
      </c>
      <c r="F11" s="208" t="str">
        <f ca="1">IF(ISERROR($V11),"",OFFSET('Smelter Look-up'!$E$4,$V11-4,0))</f>
        <v>CID001993</v>
      </c>
      <c r="G11" s="208" t="str">
        <f ca="1">IF(C11=$X$4,IF(ISERROR($V11),"Enter smelter details","RMI"),IF(ISERROR($V11),"",OFFSET('Smelter Look-up'!$F$4,$V11-4,0)))</f>
        <v>RMI</v>
      </c>
      <c r="H11" s="209">
        <f ca="1">IF(ISERROR($V11),"",OFFSET('Smelter Look-up'!$G$4,$V11-4,0))</f>
        <v>0</v>
      </c>
      <c r="I11" s="210" t="str">
        <f ca="1">IF(ISERROR($V11),"",OFFSET('Smelter Look-up'!$H$4,$V11-4,0))</f>
        <v>Alden</v>
      </c>
      <c r="J11" s="210" t="str">
        <f ca="1">IF(ISERROR($V11),"",OFFSET('Smelter Look-up'!$I$4,$V11-4,0))</f>
        <v>New York</v>
      </c>
      <c r="K11" s="260"/>
      <c r="L11" s="260"/>
      <c r="M11" s="260"/>
      <c r="N11" s="260"/>
      <c r="O11" s="260"/>
      <c r="P11" s="211"/>
      <c r="Q11" s="261"/>
      <c r="R11" s="208" t="str">
        <f ca="1">IF(ISERROR($V11),"",OFFSET('Smelter Look-up'!$C$4,$V11-4,0)&amp;"")</f>
        <v>United Precious Metal Refining, Inc.</v>
      </c>
      <c r="S11" s="215" t="str">
        <f t="shared" ca="1" si="3"/>
        <v>US</v>
      </c>
      <c r="T11" s="215" t="str">
        <f ca="1">IF(B11="","",IF(ISERROR(MATCH($J11,SorP!$B$1:$B$6230,0)),"",INDIRECT("'SorP'!$A$"&amp;MATCH($J11,SorP!$B$1:$B$6230,0))))</f>
        <v>US-NY</v>
      </c>
      <c r="U11" s="231"/>
      <c r="V11" s="262">
        <f>IF(C11="",NA(),IF(OR(C11="Smelter not listed",C11="Smelter not yet identified"),MATCH($B11&amp;$D11,'Smelter Look-up'!$J:$J,0),MATCH($B11&amp;$C11,'Smelter Look-up'!$J:$J,0)))</f>
        <v>294</v>
      </c>
      <c r="W11" s="263"/>
      <c r="X11" s="263">
        <f t="shared" ca="1" si="4"/>
        <v>0</v>
      </c>
      <c r="Y11" s="263"/>
      <c r="Z11" s="263"/>
      <c r="AB11" s="265" t="str">
        <f t="shared" si="5"/>
        <v>GoldUnited Precious Metal Refining, Inc.</v>
      </c>
    </row>
    <row r="12" spans="1:34" s="264" customFormat="1" ht="19.899999999999999" customHeight="1">
      <c r="A12" s="208" t="s">
        <v>1829</v>
      </c>
      <c r="B12" s="208" t="s">
        <v>1131</v>
      </c>
      <c r="C12" s="212" t="s">
        <v>13012</v>
      </c>
      <c r="D12" s="270"/>
      <c r="E12" s="208" t="str">
        <f ca="1">IF(ISERROR($V12),"",OFFSET('Smelter Look-up'!$D$4,$V12-4,0)&amp;"")</f>
        <v>BELGIUM</v>
      </c>
      <c r="F12" s="208" t="str">
        <f ca="1">IF(ISERROR($V12),"",OFFSET('Smelter Look-up'!$E$4,$V12-4,0))</f>
        <v>CID002773</v>
      </c>
      <c r="G12" s="208" t="str">
        <f ca="1">IF(C12=$X$4,IF(ISERROR($V12),"Enter smelter details","RMI"),IF(ISERROR($V12),"",OFFSET('Smelter Look-up'!$F$4,$V12-4,0)))</f>
        <v>RMI</v>
      </c>
      <c r="H12" s="209">
        <f ca="1">IF(ISERROR($V12),"",OFFSET('Smelter Look-up'!$G$4,$V12-4,0))</f>
        <v>0</v>
      </c>
      <c r="I12" s="210" t="str">
        <f ca="1">IF(ISERROR($V12),"",OFFSET('Smelter Look-up'!$H$4,$V12-4,0))</f>
        <v>Beerse</v>
      </c>
      <c r="J12" s="210" t="str">
        <f ca="1">IF(ISERROR($V12),"",OFFSET('Smelter Look-up'!$I$4,$V12-4,0))</f>
        <v>Antwerpen</v>
      </c>
      <c r="K12" s="260"/>
      <c r="L12" s="260"/>
      <c r="M12" s="260"/>
      <c r="N12" s="260"/>
      <c r="O12" s="260"/>
      <c r="P12" s="211"/>
      <c r="Q12" s="261"/>
      <c r="R12" s="208" t="str">
        <f ca="1">IF(ISERROR($V12),"",OFFSET('Smelter Look-up'!$C$4,$V12-4,0)&amp;"")</f>
        <v>Metallo Belgium N.V.</v>
      </c>
      <c r="S12" s="215" t="str">
        <f t="shared" ca="1" si="3"/>
        <v>BE</v>
      </c>
      <c r="T12" s="215" t="str">
        <f ca="1">IF(B12="","",IF(ISERROR(MATCH($J12,SorP!$B$1:$B$6230,0)),"",INDIRECT("'SorP'!$A$"&amp;MATCH($J12,SorP!$B$1:$B$6230,0))))</f>
        <v>BE-VAN</v>
      </c>
      <c r="U12" s="231"/>
      <c r="V12" s="262">
        <f>IF(C12="",NA(),IF(OR(C12="Smelter not listed",C12="Smelter not yet identified"),MATCH($B12&amp;$D12,'Smelter Look-up'!$J:$J,0),MATCH($B12&amp;$C12,'Smelter Look-up'!$J:$J,0)))</f>
        <v>462</v>
      </c>
      <c r="W12" s="263"/>
      <c r="X12" s="263">
        <f t="shared" ca="1" si="4"/>
        <v>0</v>
      </c>
      <c r="Y12" s="263"/>
      <c r="Z12" s="263"/>
      <c r="AB12" s="265" t="str">
        <f t="shared" si="5"/>
        <v>TinMetallo Belgium N.V.</v>
      </c>
    </row>
    <row r="13" spans="1:34" s="264" customFormat="1" ht="19.899999999999999" customHeight="1">
      <c r="A13" s="208" t="s">
        <v>776</v>
      </c>
      <c r="B13" s="208" t="s">
        <v>1131</v>
      </c>
      <c r="C13" s="212" t="s">
        <v>1034</v>
      </c>
      <c r="D13" s="270"/>
      <c r="E13" s="208" t="str">
        <f ca="1">IF(ISERROR($V13),"",OFFSET('Smelter Look-up'!$D$4,$V13-4,0)&amp;"")</f>
        <v>PERU</v>
      </c>
      <c r="F13" s="208" t="str">
        <f ca="1">IF(ISERROR($V13),"",OFFSET('Smelter Look-up'!$E$4,$V13-4,0))</f>
        <v>CID001182</v>
      </c>
      <c r="G13" s="208" t="str">
        <f ca="1">IF(C13=$X$4,IF(ISERROR($V13),"Enter smelter details","RMI"),IF(ISERROR($V13),"",OFFSET('Smelter Look-up'!$F$4,$V13-4,0)))</f>
        <v>RMI</v>
      </c>
      <c r="H13" s="209">
        <f ca="1">IF(ISERROR($V13),"",OFFSET('Smelter Look-up'!$G$4,$V13-4,0))</f>
        <v>0</v>
      </c>
      <c r="I13" s="210" t="str">
        <f ca="1">IF(ISERROR($V13),"",OFFSET('Smelter Look-up'!$H$4,$V13-4,0))</f>
        <v>Paracas</v>
      </c>
      <c r="J13" s="210" t="str">
        <f ca="1">IF(ISERROR($V13),"",OFFSET('Smelter Look-up'!$I$4,$V13-4,0))</f>
        <v>Ika</v>
      </c>
      <c r="K13" s="260"/>
      <c r="L13" s="260"/>
      <c r="M13" s="260"/>
      <c r="N13" s="260"/>
      <c r="O13" s="260"/>
      <c r="P13" s="211"/>
      <c r="Q13" s="261"/>
      <c r="R13" s="208" t="str">
        <f ca="1">IF(ISERROR($V13),"",OFFSET('Smelter Look-up'!$C$4,$V13-4,0)&amp;"")</f>
        <v>Minsur</v>
      </c>
      <c r="S13" s="215" t="str">
        <f t="shared" ca="1" si="3"/>
        <v>PE</v>
      </c>
      <c r="T13" s="215" t="str">
        <f ca="1">IF(B13="","",IF(ISERROR(MATCH($J13,SorP!$B$1:$B$6230,0)),"",INDIRECT("'SorP'!$A$"&amp;MATCH($J13,SorP!$B$1:$B$6230,0))))</f>
        <v>PE-ICA</v>
      </c>
      <c r="U13" s="231"/>
      <c r="V13" s="262">
        <f>IF(C13="",NA(),IF(OR(C13="Smelter not listed",C13="Smelter not yet identified"),MATCH($B13&amp;$D13,'Smelter Look-up'!$J:$J,0),MATCH($B13&amp;$C13,'Smelter Look-up'!$J:$J,0)))</f>
        <v>468</v>
      </c>
      <c r="W13" s="263"/>
      <c r="X13" s="263">
        <f t="shared" ca="1" si="4"/>
        <v>0</v>
      </c>
      <c r="Y13" s="263"/>
      <c r="Z13" s="263"/>
      <c r="AB13" s="265" t="str">
        <f t="shared" si="5"/>
        <v>TinMinsur</v>
      </c>
    </row>
    <row r="14" spans="1:34" s="264" customFormat="1" ht="19.899999999999999" customHeight="1">
      <c r="A14" s="208" t="s">
        <v>780</v>
      </c>
      <c r="B14" s="208" t="s">
        <v>1131</v>
      </c>
      <c r="C14" s="212" t="s">
        <v>13885</v>
      </c>
      <c r="D14" s="270"/>
      <c r="E14" s="208" t="str">
        <f ca="1">IF(ISERROR($V14),"",OFFSET('Smelter Look-up'!$D$4,$V14-4,0)&amp;"")</f>
        <v>BOLIVIA (PLURINATIONAL STATE OF)</v>
      </c>
      <c r="F14" s="208" t="str">
        <f ca="1">IF(ISERROR($V14),"",OFFSET('Smelter Look-up'!$E$4,$V14-4,0))</f>
        <v>CID001337</v>
      </c>
      <c r="G14" s="208" t="str">
        <f ca="1">IF(C14=$X$4,IF(ISERROR($V14),"Enter smelter details","RMI"),IF(ISERROR($V14),"",OFFSET('Smelter Look-up'!$F$4,$V14-4,0)))</f>
        <v>RMI</v>
      </c>
      <c r="H14" s="209">
        <f ca="1">IF(ISERROR($V14),"",OFFSET('Smelter Look-up'!$G$4,$V14-4,0))</f>
        <v>0</v>
      </c>
      <c r="I14" s="210" t="str">
        <f ca="1">IF(ISERROR($V14),"",OFFSET('Smelter Look-up'!$H$4,$V14-4,0))</f>
        <v>Oruro</v>
      </c>
      <c r="J14" s="210" t="str">
        <f ca="1">IF(ISERROR($V14),"",OFFSET('Smelter Look-up'!$I$4,$V14-4,0))</f>
        <v>Oruro</v>
      </c>
      <c r="K14" s="260"/>
      <c r="L14" s="260"/>
      <c r="M14" s="260"/>
      <c r="N14" s="260"/>
      <c r="O14" s="260"/>
      <c r="P14" s="211"/>
      <c r="Q14" s="261"/>
      <c r="R14" s="208" t="str">
        <f ca="1">IF(ISERROR($V14),"",OFFSET('Smelter Look-up'!$C$4,$V14-4,0)&amp;"")</f>
        <v>Operaciones Metalurgicas S.A.</v>
      </c>
      <c r="S14" s="215" t="str">
        <f t="shared" ca="1" si="3"/>
        <v>BO</v>
      </c>
      <c r="T14" s="215" t="str">
        <f ca="1">IF(B14="","",IF(ISERROR(MATCH($J14,SorP!$B$1:$B$6230,0)),"",INDIRECT("'SorP'!$A$"&amp;MATCH($J14,SorP!$B$1:$B$6230,0))))</f>
        <v>BO-O</v>
      </c>
      <c r="U14" s="231"/>
      <c r="V14" s="262">
        <f>IF(C14="",NA(),IF(OR(C14="Smelter not listed",C14="Smelter not yet identified"),MATCH($B14&amp;$D14,'Smelter Look-up'!$J:$J,0),MATCH($B14&amp;$C14,'Smelter Look-up'!$J:$J,0)))</f>
        <v>479</v>
      </c>
      <c r="W14" s="263"/>
      <c r="X14" s="263">
        <f t="shared" ca="1" si="4"/>
        <v>0</v>
      </c>
      <c r="Y14" s="263"/>
      <c r="Z14" s="263"/>
      <c r="AB14" s="265" t="str">
        <f t="shared" si="5"/>
        <v>TinOperaciones Metalurgicas S.A.</v>
      </c>
    </row>
    <row r="15" spans="1:34" s="264" customFormat="1" ht="38.25">
      <c r="A15" s="208" t="s">
        <v>767</v>
      </c>
      <c r="B15" s="208" t="s">
        <v>1131</v>
      </c>
      <c r="C15" s="212" t="s">
        <v>842</v>
      </c>
      <c r="D15" s="270"/>
      <c r="E15" s="208" t="str">
        <f ca="1">IF(ISERROR($V15),"",OFFSET('Smelter Look-up'!$D$4,$V15-4,0)&amp;"")</f>
        <v>BOLIVIA (PLURINATIONAL STATE OF)</v>
      </c>
      <c r="F15" s="208" t="str">
        <f ca="1">IF(ISERROR($V15),"",OFFSET('Smelter Look-up'!$E$4,$V15-4,0))</f>
        <v>CID000438</v>
      </c>
      <c r="G15" s="208" t="str">
        <f ca="1">IF(C15=$X$4,IF(ISERROR($V15),"Enter smelter details","RMI"),IF(ISERROR($V15),"",OFFSET('Smelter Look-up'!$F$4,$V15-4,0)))</f>
        <v>RMI</v>
      </c>
      <c r="H15" s="209">
        <f ca="1">IF(ISERROR($V15),"",OFFSET('Smelter Look-up'!$G$4,$V15-4,0))</f>
        <v>0</v>
      </c>
      <c r="I15" s="210" t="str">
        <f ca="1">IF(ISERROR($V15),"",OFFSET('Smelter Look-up'!$H$4,$V15-4,0))</f>
        <v>Oruro</v>
      </c>
      <c r="J15" s="210" t="str">
        <f ca="1">IF(ISERROR($V15),"",OFFSET('Smelter Look-up'!$I$4,$V15-4,0))</f>
        <v>Oruro</v>
      </c>
      <c r="K15" s="260"/>
      <c r="L15" s="260"/>
      <c r="M15" s="260"/>
      <c r="N15" s="260"/>
      <c r="O15" s="260"/>
      <c r="P15" s="211"/>
      <c r="Q15" s="261"/>
      <c r="R15" s="208" t="str">
        <f ca="1">IF(ISERROR($V15),"",OFFSET('Smelter Look-up'!$C$4,$V15-4,0)&amp;"")</f>
        <v>EM Vinto</v>
      </c>
      <c r="S15" s="215" t="str">
        <f t="shared" ca="1" si="3"/>
        <v>BO</v>
      </c>
      <c r="T15" s="215" t="str">
        <f ca="1">IF(B15="","",IF(ISERROR(MATCH($J15,SorP!$B$1:$B$6230,0)),"",INDIRECT("'SorP'!$A$"&amp;MATCH($J15,SorP!$B$1:$B$6230,0))))</f>
        <v>BO-O</v>
      </c>
      <c r="U15" s="231"/>
      <c r="V15" s="262">
        <f>IF(C15="",NA(),IF(OR(C15="Smelter not listed",C15="Smelter not yet identified"),MATCH($B15&amp;$D15,'Smelter Look-up'!$J:$J,0),MATCH($B15&amp;$C15,'Smelter Look-up'!$J:$J,0)))</f>
        <v>418</v>
      </c>
      <c r="W15" s="263"/>
      <c r="X15" s="263">
        <f t="shared" ca="1" si="4"/>
        <v>0</v>
      </c>
      <c r="Y15" s="263"/>
      <c r="Z15" s="263"/>
      <c r="AB15" s="265" t="str">
        <f t="shared" si="5"/>
        <v>TinEM Vinto</v>
      </c>
    </row>
    <row r="16" spans="1:34" s="264" customFormat="1" ht="19.899999999999999" customHeight="1">
      <c r="A16" s="208" t="s">
        <v>783</v>
      </c>
      <c r="B16" s="208" t="s">
        <v>1131</v>
      </c>
      <c r="C16" s="212" t="s">
        <v>2171</v>
      </c>
      <c r="D16" s="270"/>
      <c r="E16" s="208" t="str">
        <f ca="1">IF(ISERROR($V16),"",OFFSET('Smelter Look-up'!$D$4,$V16-4,0)&amp;"")</f>
        <v>INDONESIA</v>
      </c>
      <c r="F16" s="208" t="str">
        <f ca="1">IF(ISERROR($V16),"",OFFSET('Smelter Look-up'!$E$4,$V16-4,0))</f>
        <v>CID001460</v>
      </c>
      <c r="G16" s="208" t="str">
        <f ca="1">IF(C16=$X$4,IF(ISERROR($V16),"Enter smelter details","RMI"),IF(ISERROR($V16),"",OFFSET('Smelter Look-up'!$F$4,$V16-4,0)))</f>
        <v>RMI</v>
      </c>
      <c r="H16" s="209">
        <f ca="1">IF(ISERROR($V16),"",OFFSET('Smelter Look-up'!$G$4,$V16-4,0))</f>
        <v>0</v>
      </c>
      <c r="I16" s="210" t="str">
        <f ca="1">IF(ISERROR($V16),"",OFFSET('Smelter Look-up'!$H$4,$V16-4,0))</f>
        <v>Sungailiat</v>
      </c>
      <c r="J16" s="210" t="str">
        <f ca="1">IF(ISERROR($V16),"",OFFSET('Smelter Look-up'!$I$4,$V16-4,0))</f>
        <v>Kepulauan Bangka Belitung</v>
      </c>
      <c r="K16" s="260"/>
      <c r="L16" s="260"/>
      <c r="M16" s="260"/>
      <c r="N16" s="260"/>
      <c r="O16" s="260"/>
      <c r="P16" s="211"/>
      <c r="Q16" s="261"/>
      <c r="R16" s="208" t="str">
        <f ca="1">IF(ISERROR($V16),"",OFFSET('Smelter Look-up'!$C$4,$V16-4,0)&amp;"")</f>
        <v>PT Refined Bangka Tin</v>
      </c>
      <c r="S16" s="215" t="str">
        <f t="shared" ca="1" si="3"/>
        <v>ID</v>
      </c>
      <c r="T16" s="215" t="str">
        <f ca="1">IF(B16="","",IF(ISERROR(MATCH($J16,SorP!$B$1:$B$6230,0)),"",INDIRECT("'SorP'!$A$"&amp;MATCH($J16,SorP!$B$1:$B$6230,0))))</f>
        <v>ID-BB</v>
      </c>
      <c r="U16" s="231"/>
      <c r="V16" s="262">
        <f>IF(C16="",NA(),IF(OR(C16="Smelter not listed",C16="Smelter not yet identified"),MATCH($B16&amp;$D16,'Smelter Look-up'!$J:$J,0),MATCH($B16&amp;$C16,'Smelter Look-up'!$J:$J,0)))</f>
        <v>502</v>
      </c>
      <c r="W16" s="263"/>
      <c r="X16" s="263">
        <f t="shared" ca="1" si="4"/>
        <v>0</v>
      </c>
      <c r="Y16" s="263"/>
      <c r="Z16" s="263"/>
      <c r="AB16" s="265" t="str">
        <f t="shared" si="5"/>
        <v>TinPT Refined Bangka Tin</v>
      </c>
    </row>
    <row r="17" spans="1:28" s="264" customFormat="1" ht="19.899999999999999" customHeight="1">
      <c r="A17" s="208" t="s">
        <v>782</v>
      </c>
      <c r="B17" s="208" t="s">
        <v>1131</v>
      </c>
      <c r="C17" s="212" t="s">
        <v>627</v>
      </c>
      <c r="D17" s="270"/>
      <c r="E17" s="208" t="str">
        <f ca="1">IF(ISERROR($V17),"",OFFSET('Smelter Look-up'!$D$4,$V17-4,0)&amp;"")</f>
        <v>INDONESIA</v>
      </c>
      <c r="F17" s="208" t="str">
        <f ca="1">IF(ISERROR($V17),"",OFFSET('Smelter Look-up'!$E$4,$V17-4,0))</f>
        <v>CID001453</v>
      </c>
      <c r="G17" s="208" t="str">
        <f ca="1">IF(C17=$X$4,IF(ISERROR($V17),"Enter smelter details","RMI"),IF(ISERROR($V17),"",OFFSET('Smelter Look-up'!$F$4,$V17-4,0)))</f>
        <v>RMI</v>
      </c>
      <c r="H17" s="209">
        <f ca="1">IF(ISERROR($V17),"",OFFSET('Smelter Look-up'!$G$4,$V17-4,0))</f>
        <v>0</v>
      </c>
      <c r="I17" s="210" t="str">
        <f ca="1">IF(ISERROR($V17),"",OFFSET('Smelter Look-up'!$H$4,$V17-4,0))</f>
        <v>Sungailiat</v>
      </c>
      <c r="J17" s="210" t="str">
        <f ca="1">IF(ISERROR($V17),"",OFFSET('Smelter Look-up'!$I$4,$V17-4,0))</f>
        <v>Kepulauan Bangka Belitung</v>
      </c>
      <c r="K17" s="260"/>
      <c r="L17" s="260"/>
      <c r="M17" s="260"/>
      <c r="N17" s="260"/>
      <c r="O17" s="260"/>
      <c r="P17" s="211"/>
      <c r="Q17" s="261"/>
      <c r="R17" s="208" t="str">
        <f ca="1">IF(ISERROR($V17),"",OFFSET('Smelter Look-up'!$C$4,$V17-4,0)&amp;"")</f>
        <v>PT Mitra Stania Prima</v>
      </c>
      <c r="S17" s="215" t="str">
        <f t="shared" ca="1" si="3"/>
        <v>ID</v>
      </c>
      <c r="T17" s="215" t="str">
        <f ca="1">IF(B17="","",IF(ISERROR(MATCH($J17,SorP!$B$1:$B$6230,0)),"",INDIRECT("'SorP'!$A$"&amp;MATCH($J17,SorP!$B$1:$B$6230,0))))</f>
        <v>ID-BB</v>
      </c>
      <c r="U17" s="231"/>
      <c r="V17" s="262">
        <f>IF(C17="",NA(),IF(OR(C17="Smelter not listed",C17="Smelter not yet identified"),MATCH($B17&amp;$D17,'Smelter Look-up'!$J:$J,0),MATCH($B17&amp;$C17,'Smelter Look-up'!$J:$J,0)))</f>
        <v>496</v>
      </c>
      <c r="W17" s="263"/>
      <c r="X17" s="263">
        <f t="shared" ca="1" si="4"/>
        <v>0</v>
      </c>
      <c r="Y17" s="263"/>
      <c r="Z17" s="263"/>
      <c r="AB17" s="265" t="str">
        <f t="shared" si="5"/>
        <v>TinPT Mitra Stania Prima</v>
      </c>
    </row>
    <row r="18" spans="1:28" s="264" customFormat="1" ht="19.899999999999999" customHeight="1">
      <c r="A18" s="208" t="s">
        <v>784</v>
      </c>
      <c r="B18" s="208" t="s">
        <v>1131</v>
      </c>
      <c r="C18" s="212" t="s">
        <v>13881</v>
      </c>
      <c r="D18" s="270"/>
      <c r="E18" s="208" t="str">
        <f ca="1">IF(ISERROR($V18),"",OFFSET('Smelter Look-up'!$D$4,$V18-4,0)&amp;"")</f>
        <v>INDONESIA</v>
      </c>
      <c r="F18" s="208" t="str">
        <f ca="1">IF(ISERROR($V18),"",OFFSET('Smelter Look-up'!$E$4,$V18-4,0))</f>
        <v>CID001482</v>
      </c>
      <c r="G18" s="208" t="str">
        <f ca="1">IF(C18=$X$4,IF(ISERROR($V18),"Enter smelter details","RMI"),IF(ISERROR($V18),"",OFFSET('Smelter Look-up'!$F$4,$V18-4,0)))</f>
        <v>RMI</v>
      </c>
      <c r="H18" s="209">
        <f ca="1">IF(ISERROR($V18),"",OFFSET('Smelter Look-up'!$G$4,$V18-4,0))</f>
        <v>0</v>
      </c>
      <c r="I18" s="210" t="str">
        <f ca="1">IF(ISERROR($V18),"",OFFSET('Smelter Look-up'!$H$4,$V18-4,0))</f>
        <v>Mentok</v>
      </c>
      <c r="J18" s="210" t="str">
        <f ca="1">IF(ISERROR($V18),"",OFFSET('Smelter Look-up'!$I$4,$V18-4,0))</f>
        <v>Kepulauan Bangka Belitung</v>
      </c>
      <c r="K18" s="260"/>
      <c r="L18" s="260"/>
      <c r="M18" s="260"/>
      <c r="N18" s="260"/>
      <c r="O18" s="260"/>
      <c r="P18" s="211"/>
      <c r="Q18" s="261"/>
      <c r="R18" s="208" t="str">
        <f ca="1">IF(ISERROR($V18),"",OFFSET('Smelter Look-up'!$C$4,$V18-4,0)&amp;"")</f>
        <v>PT Timah Tbk Mentok</v>
      </c>
      <c r="S18" s="215" t="str">
        <f t="shared" ca="1" si="3"/>
        <v>ID</v>
      </c>
      <c r="T18" s="215" t="str">
        <f ca="1">IF(B18="","",IF(ISERROR(MATCH($J18,SorP!$B$1:$B$6230,0)),"",INDIRECT("'SorP'!$A$"&amp;MATCH($J18,SorP!$B$1:$B$6230,0))))</f>
        <v>ID-BB</v>
      </c>
      <c r="U18" s="231"/>
      <c r="V18" s="262">
        <f>IF(C18="",NA(),IF(OR(C18="Smelter not listed",C18="Smelter not yet identified"),MATCH($B18&amp;$D18,'Smelter Look-up'!$J:$J,0),MATCH($B18&amp;$C18,'Smelter Look-up'!$J:$J,0)))</f>
        <v>509</v>
      </c>
      <c r="W18" s="263"/>
      <c r="X18" s="263">
        <f t="shared" ca="1" si="4"/>
        <v>0</v>
      </c>
      <c r="Y18" s="263"/>
      <c r="Z18" s="263"/>
      <c r="AB18" s="265" t="str">
        <f t="shared" si="5"/>
        <v>TinPT Timah Tbk Mentok</v>
      </c>
    </row>
    <row r="19" spans="1:28" s="264" customFormat="1" ht="51">
      <c r="A19" s="208" t="s">
        <v>804</v>
      </c>
      <c r="B19" s="208" t="s">
        <v>1131</v>
      </c>
      <c r="C19" s="212" t="s">
        <v>13882</v>
      </c>
      <c r="D19" s="270"/>
      <c r="E19" s="208" t="str">
        <f ca="1">IF(ISERROR($V19),"",OFFSET('Smelter Look-up'!$D$4,$V19-4,0)&amp;"")</f>
        <v>INDONESIA</v>
      </c>
      <c r="F19" s="208" t="str">
        <f ca="1">IF(ISERROR($V19),"",OFFSET('Smelter Look-up'!$E$4,$V19-4,0))</f>
        <v>CID001477</v>
      </c>
      <c r="G19" s="208" t="str">
        <f ca="1">IF(C19=$X$4,IF(ISERROR($V19),"Enter smelter details","RMI"),IF(ISERROR($V19),"",OFFSET('Smelter Look-up'!$F$4,$V19-4,0)))</f>
        <v>RMI</v>
      </c>
      <c r="H19" s="209">
        <f ca="1">IF(ISERROR($V19),"",OFFSET('Smelter Look-up'!$G$4,$V19-4,0))</f>
        <v>0</v>
      </c>
      <c r="I19" s="210" t="str">
        <f ca="1">IF(ISERROR($V19),"",OFFSET('Smelter Look-up'!$H$4,$V19-4,0))</f>
        <v>Kundur</v>
      </c>
      <c r="J19" s="210" t="str">
        <f ca="1">IF(ISERROR($V19),"",OFFSET('Smelter Look-up'!$I$4,$V19-4,0))</f>
        <v>Riau</v>
      </c>
      <c r="K19" s="260"/>
      <c r="L19" s="260"/>
      <c r="M19" s="260"/>
      <c r="N19" s="260"/>
      <c r="O19" s="260"/>
      <c r="P19" s="211"/>
      <c r="Q19" s="261"/>
      <c r="R19" s="208" t="str">
        <f ca="1">IF(ISERROR($V19),"",OFFSET('Smelter Look-up'!$C$4,$V19-4,0)&amp;"")</f>
        <v>PT Timah Tbk Kundur</v>
      </c>
      <c r="S19" s="215" t="str">
        <f t="shared" ca="1" si="3"/>
        <v>ID</v>
      </c>
      <c r="T19" s="215" t="str">
        <f ca="1">IF(B19="","",IF(ISERROR(MATCH($J19,SorP!$B$1:$B$6230,0)),"",INDIRECT("'SorP'!$A$"&amp;MATCH($J19,SorP!$B$1:$B$6230,0))))</f>
        <v>ID-RI</v>
      </c>
      <c r="U19" s="231"/>
      <c r="V19" s="262">
        <f>IF(C19="",NA(),IF(OR(C19="Smelter not listed",C19="Smelter not yet identified"),MATCH($B19&amp;$D19,'Smelter Look-up'!$J:$J,0),MATCH($B19&amp;$C19,'Smelter Look-up'!$J:$J,0)))</f>
        <v>508</v>
      </c>
      <c r="W19" s="263"/>
      <c r="X19" s="263">
        <f t="shared" ca="1" si="4"/>
        <v>0</v>
      </c>
      <c r="Y19" s="263"/>
      <c r="Z19" s="263"/>
      <c r="AB19" s="265" t="str">
        <f t="shared" si="5"/>
        <v>TinPT Timah Tbk Kundur</v>
      </c>
    </row>
    <row r="20" spans="1:28" s="264" customFormat="1" ht="25.5">
      <c r="A20" s="208" t="s">
        <v>788</v>
      </c>
      <c r="B20" s="208" t="s">
        <v>1131</v>
      </c>
      <c r="C20" s="212" t="s">
        <v>1031</v>
      </c>
      <c r="D20" s="270"/>
      <c r="E20" s="208" t="str">
        <f ca="1">IF(ISERROR($V20),"",OFFSET('Smelter Look-up'!$D$4,$V20-4,0)&amp;"")</f>
        <v>THAILAND</v>
      </c>
      <c r="F20" s="208" t="str">
        <f ca="1">IF(ISERROR($V20),"",OFFSET('Smelter Look-up'!$E$4,$V20-4,0))</f>
        <v>CID001898</v>
      </c>
      <c r="G20" s="208" t="str">
        <f ca="1">IF(C20=$X$4,IF(ISERROR($V20),"Enter smelter details","RMI"),IF(ISERROR($V20),"",OFFSET('Smelter Look-up'!$F$4,$V20-4,0)))</f>
        <v>RMI</v>
      </c>
      <c r="H20" s="209">
        <f ca="1">IF(ISERROR($V20),"",OFFSET('Smelter Look-up'!$G$4,$V20-4,0))</f>
        <v>0</v>
      </c>
      <c r="I20" s="210" t="str">
        <f ca="1">IF(ISERROR($V20),"",OFFSET('Smelter Look-up'!$H$4,$V20-4,0))</f>
        <v>Amphur Muang</v>
      </c>
      <c r="J20" s="210" t="str">
        <f ca="1">IF(ISERROR($V20),"",OFFSET('Smelter Look-up'!$I$4,$V20-4,0))</f>
        <v>Phuket</v>
      </c>
      <c r="K20" s="260"/>
      <c r="L20" s="260"/>
      <c r="M20" s="260"/>
      <c r="N20" s="260"/>
      <c r="O20" s="260"/>
      <c r="P20" s="211"/>
      <c r="Q20" s="261"/>
      <c r="R20" s="208" t="str">
        <f ca="1">IF(ISERROR($V20),"",OFFSET('Smelter Look-up'!$C$4,$V20-4,0)&amp;"")</f>
        <v>Thaisarco</v>
      </c>
      <c r="S20" s="215" t="str">
        <f t="shared" ca="1" si="3"/>
        <v>TH</v>
      </c>
      <c r="T20" s="215" t="str">
        <f ca="1">IF(B20="","",IF(ISERROR(MATCH($J20,SorP!$B$1:$B$6230,0)),"",INDIRECT("'SorP'!$A$"&amp;MATCH($J20,SorP!$B$1:$B$6230,0))))</f>
        <v>TH-83</v>
      </c>
      <c r="U20" s="231"/>
      <c r="V20" s="262">
        <f>IF(C20="",NA(),IF(OR(C20="Smelter not listed",C20="Smelter not yet identified"),MATCH($B20&amp;$D20,'Smelter Look-up'!$J:$J,0),MATCH($B20&amp;$C20,'Smelter Look-up'!$J:$J,0)))</f>
        <v>523</v>
      </c>
      <c r="W20" s="263"/>
      <c r="X20" s="263">
        <f t="shared" ca="1" si="4"/>
        <v>0</v>
      </c>
      <c r="Y20" s="263"/>
      <c r="Z20" s="263"/>
      <c r="AB20" s="265" t="str">
        <f t="shared" si="5"/>
        <v>TinThaisarco</v>
      </c>
    </row>
    <row r="21" spans="1:28" s="264" customFormat="1" ht="102">
      <c r="A21" s="208" t="s">
        <v>2299</v>
      </c>
      <c r="B21" s="208" t="s">
        <v>1131</v>
      </c>
      <c r="C21" s="212" t="s">
        <v>2358</v>
      </c>
      <c r="D21" s="270"/>
      <c r="E21" s="208" t="str">
        <f ca="1">IF(ISERROR($V21),"",OFFSET('Smelter Look-up'!$D$4,$V21-4,0)&amp;"")</f>
        <v>CHINA</v>
      </c>
      <c r="F21" s="208" t="str">
        <f ca="1">IF(ISERROR($V21),"",OFFSET('Smelter Look-up'!$E$4,$V21-4,0))</f>
        <v>CID000228</v>
      </c>
      <c r="G21" s="208" t="str">
        <f ca="1">IF(C21=$X$4,IF(ISERROR($V21),"Enter smelter details","RMI"),IF(ISERROR($V21),"",OFFSET('Smelter Look-up'!$F$4,$V21-4,0)))</f>
        <v>RMI</v>
      </c>
      <c r="H21" s="209">
        <f ca="1">IF(ISERROR($V21),"",OFFSET('Smelter Look-up'!$G$4,$V21-4,0))</f>
        <v>0</v>
      </c>
      <c r="I21" s="210" t="str">
        <f ca="1">IF(ISERROR($V21),"",OFFSET('Smelter Look-up'!$H$4,$V21-4,0))</f>
        <v>Chenzhou</v>
      </c>
      <c r="J21" s="210" t="str">
        <f ca="1">IF(ISERROR($V21),"",OFFSET('Smelter Look-up'!$I$4,$V21-4,0))</f>
        <v>Hunan Sheng</v>
      </c>
      <c r="K21" s="260"/>
      <c r="L21" s="260"/>
      <c r="M21" s="260"/>
      <c r="N21" s="260"/>
      <c r="O21" s="260"/>
      <c r="P21" s="211"/>
      <c r="Q21" s="261"/>
      <c r="R21" s="208" t="str">
        <f ca="1">IF(ISERROR($V21),"",OFFSET('Smelter Look-up'!$C$4,$V21-4,0)&amp;"")</f>
        <v>Chenzhou Yunxiang Mining and Metallurgy Co., Ltd.</v>
      </c>
      <c r="S21" s="215" t="str">
        <f t="shared" ca="1" si="3"/>
        <v>CN</v>
      </c>
      <c r="T21" s="215" t="str">
        <f ca="1">IF(B21="","",IF(ISERROR(MATCH($J21,SorP!$B$1:$B$6230,0)),"",INDIRECT("'SorP'!$A$"&amp;MATCH($J21,SorP!$B$1:$B$6230,0))))</f>
        <v>CN-HN</v>
      </c>
      <c r="U21" s="231"/>
      <c r="V21" s="262">
        <f>IF(C21="",NA(),IF(OR(C21="Smelter not listed",C21="Smelter not yet identified"),MATCH($B21&amp;$D21,'Smelter Look-up'!$J:$J,0),MATCH($B21&amp;$C21,'Smelter Look-up'!$J:$J,0)))</f>
        <v>399</v>
      </c>
      <c r="W21" s="263"/>
      <c r="X21" s="263">
        <f t="shared" ca="1" si="4"/>
        <v>0</v>
      </c>
      <c r="Y21" s="263"/>
      <c r="Z21" s="263"/>
      <c r="AB21" s="265" t="str">
        <f t="shared" si="5"/>
        <v>TinChenzhou Yunxiang Mining and Metallurgy Co., Ltd.</v>
      </c>
    </row>
    <row r="22" spans="1:28" s="264" customFormat="1" ht="20.25">
      <c r="A22" s="208" t="s">
        <v>1410</v>
      </c>
      <c r="B22" s="208" t="s">
        <v>1131</v>
      </c>
      <c r="C22" s="212" t="s">
        <v>906</v>
      </c>
      <c r="D22" s="270"/>
      <c r="E22" s="208" t="str">
        <f ca="1">IF(ISERROR($V22),"",OFFSET('Smelter Look-up'!$D$4,$V22-4,0)&amp;"")</f>
        <v>JAPAN</v>
      </c>
      <c r="F22" s="208" t="str">
        <f ca="1">IF(ISERROR($V22),"",OFFSET('Smelter Look-up'!$E$4,$V22-4,0))</f>
        <v>CID000402</v>
      </c>
      <c r="G22" s="208" t="str">
        <f ca="1">IF(C22=$X$4,IF(ISERROR($V22),"Enter smelter details","RMI"),IF(ISERROR($V22),"",OFFSET('Smelter Look-up'!$F$4,$V22-4,0)))</f>
        <v>RMI</v>
      </c>
      <c r="H22" s="209">
        <f ca="1">IF(ISERROR($V22),"",OFFSET('Smelter Look-up'!$G$4,$V22-4,0))</f>
        <v>0</v>
      </c>
      <c r="I22" s="210" t="str">
        <f ca="1">IF(ISERROR($V22),"",OFFSET('Smelter Look-up'!$H$4,$V22-4,0))</f>
        <v>Kosaka</v>
      </c>
      <c r="J22" s="210" t="str">
        <f ca="1">IF(ISERROR($V22),"",OFFSET('Smelter Look-up'!$I$4,$V22-4,0))</f>
        <v>Akita</v>
      </c>
      <c r="K22" s="260"/>
      <c r="L22" s="260"/>
      <c r="M22" s="260"/>
      <c r="N22" s="260"/>
      <c r="O22" s="260"/>
      <c r="P22" s="211"/>
      <c r="Q22" s="261"/>
      <c r="R22" s="208" t="str">
        <f ca="1">IF(ISERROR($V22),"",OFFSET('Smelter Look-up'!$C$4,$V22-4,0)&amp;"")</f>
        <v>Dowa</v>
      </c>
      <c r="S22" s="215" t="str">
        <f t="shared" ca="1" si="3"/>
        <v>JP</v>
      </c>
      <c r="T22" s="215" t="str">
        <f ca="1">IF(B22="","",IF(ISERROR(MATCH($J22,SorP!$B$1:$B$6230,0)),"",INDIRECT("'SorP'!$A$"&amp;MATCH($J22,SorP!$B$1:$B$6230,0))))</f>
        <v>JP-05</v>
      </c>
      <c r="U22" s="231"/>
      <c r="V22" s="262">
        <f>IF(C22="",NA(),IF(OR(C22="Smelter not listed",C22="Smelter not yet identified"),MATCH($B22&amp;$D22,'Smelter Look-up'!$J:$J,0),MATCH($B22&amp;$C22,'Smelter Look-up'!$J:$J,0)))</f>
        <v>414</v>
      </c>
      <c r="W22" s="263"/>
      <c r="X22" s="263">
        <f t="shared" ca="1" si="4"/>
        <v>0</v>
      </c>
      <c r="Y22" s="263"/>
      <c r="Z22" s="263"/>
      <c r="AB22" s="265" t="str">
        <f t="shared" si="5"/>
        <v>TinDowa</v>
      </c>
    </row>
    <row r="23" spans="1:28" s="264" customFormat="1" ht="38.25">
      <c r="A23" s="208" t="s">
        <v>767</v>
      </c>
      <c r="B23" s="208" t="s">
        <v>1131</v>
      </c>
      <c r="C23" s="212" t="s">
        <v>842</v>
      </c>
      <c r="D23" s="270"/>
      <c r="E23" s="208" t="str">
        <f ca="1">IF(ISERROR($V23),"",OFFSET('Smelter Look-up'!$D$4,$V23-4,0)&amp;"")</f>
        <v>BOLIVIA (PLURINATIONAL STATE OF)</v>
      </c>
      <c r="F23" s="208" t="str">
        <f ca="1">IF(ISERROR($V23),"",OFFSET('Smelter Look-up'!$E$4,$V23-4,0))</f>
        <v>CID000438</v>
      </c>
      <c r="G23" s="208" t="str">
        <f ca="1">IF(C23=$X$4,IF(ISERROR($V23),"Enter smelter details","RMI"),IF(ISERROR($V23),"",OFFSET('Smelter Look-up'!$F$4,$V23-4,0)))</f>
        <v>RMI</v>
      </c>
      <c r="H23" s="209">
        <f ca="1">IF(ISERROR($V23),"",OFFSET('Smelter Look-up'!$G$4,$V23-4,0))</f>
        <v>0</v>
      </c>
      <c r="I23" s="210" t="str">
        <f ca="1">IF(ISERROR($V23),"",OFFSET('Smelter Look-up'!$H$4,$V23-4,0))</f>
        <v>Oruro</v>
      </c>
      <c r="J23" s="210" t="str">
        <f ca="1">IF(ISERROR($V23),"",OFFSET('Smelter Look-up'!$I$4,$V23-4,0))</f>
        <v>Oruro</v>
      </c>
      <c r="K23" s="260"/>
      <c r="L23" s="260"/>
      <c r="M23" s="260"/>
      <c r="N23" s="260"/>
      <c r="O23" s="260"/>
      <c r="P23" s="211"/>
      <c r="Q23" s="261"/>
      <c r="R23" s="208" t="str">
        <f ca="1">IF(ISERROR($V23),"",OFFSET('Smelter Look-up'!$C$4,$V23-4,0)&amp;"")</f>
        <v>EM Vinto</v>
      </c>
      <c r="S23" s="215" t="str">
        <f t="shared" ca="1" si="3"/>
        <v>BO</v>
      </c>
      <c r="T23" s="215" t="str">
        <f ca="1">IF(B23="","",IF(ISERROR(MATCH($J23,SorP!$B$1:$B$6230,0)),"",INDIRECT("'SorP'!$A$"&amp;MATCH($J23,SorP!$B$1:$B$6230,0))))</f>
        <v>BO-O</v>
      </c>
      <c r="U23" s="231"/>
      <c r="V23" s="262">
        <f>IF(C23="",NA(),IF(OR(C23="Smelter not listed",C23="Smelter not yet identified"),MATCH($B23&amp;$D23,'Smelter Look-up'!$J:$J,0),MATCH($B23&amp;$C23,'Smelter Look-up'!$J:$J,0)))</f>
        <v>418</v>
      </c>
      <c r="W23" s="263"/>
      <c r="X23" s="263">
        <f t="shared" ca="1" si="4"/>
        <v>0</v>
      </c>
      <c r="Y23" s="263"/>
      <c r="Z23" s="263"/>
      <c r="AB23" s="265" t="str">
        <f t="shared" si="5"/>
        <v>TinEM Vinto</v>
      </c>
    </row>
    <row r="24" spans="1:28" s="264" customFormat="1" ht="25.5">
      <c r="A24" s="208" t="s">
        <v>769</v>
      </c>
      <c r="B24" s="208" t="s">
        <v>1131</v>
      </c>
      <c r="C24" s="212" t="s">
        <v>815</v>
      </c>
      <c r="D24" s="270"/>
      <c r="E24" s="208" t="str">
        <f ca="1">IF(ISERROR($V24),"",OFFSET('Smelter Look-up'!$D$4,$V24-4,0)&amp;"")</f>
        <v>POLAND</v>
      </c>
      <c r="F24" s="208" t="str">
        <f ca="1">IF(ISERROR($V24),"",OFFSET('Smelter Look-up'!$E$4,$V24-4,0))</f>
        <v>CID000468</v>
      </c>
      <c r="G24" s="208" t="str">
        <f ca="1">IF(C24=$X$4,IF(ISERROR($V24),"Enter smelter details","RMI"),IF(ISERROR($V24),"",OFFSET('Smelter Look-up'!$F$4,$V24-4,0)))</f>
        <v>RMI</v>
      </c>
      <c r="H24" s="209">
        <f ca="1">IF(ISERROR($V24),"",OFFSET('Smelter Look-up'!$G$4,$V24-4,0))</f>
        <v>0</v>
      </c>
      <c r="I24" s="210" t="str">
        <f ca="1">IF(ISERROR($V24),"",OFFSET('Smelter Look-up'!$H$4,$V24-4,0))</f>
        <v>Chmielów</v>
      </c>
      <c r="J24" s="210" t="str">
        <f ca="1">IF(ISERROR($V24),"",OFFSET('Smelter Look-up'!$I$4,$V24-4,0))</f>
        <v>Podkarpackie</v>
      </c>
      <c r="K24" s="260"/>
      <c r="L24" s="260"/>
      <c r="M24" s="260"/>
      <c r="N24" s="260"/>
      <c r="O24" s="260"/>
      <c r="P24" s="211"/>
      <c r="Q24" s="261"/>
      <c r="R24" s="208" t="str">
        <f ca="1">IF(ISERROR($V24),"",OFFSET('Smelter Look-up'!$C$4,$V24-4,0)&amp;"")</f>
        <v>Fenix Metals</v>
      </c>
      <c r="S24" s="215" t="str">
        <f t="shared" ca="1" si="3"/>
        <v>PL</v>
      </c>
      <c r="T24" s="215" t="str">
        <f ca="1">IF(B24="","",IF(ISERROR(MATCH($J24,SorP!$B$1:$B$6230,0)),"",INDIRECT("'SorP'!$A$"&amp;MATCH($J24,SorP!$B$1:$B$6230,0))))</f>
        <v>PL-18</v>
      </c>
      <c r="U24" s="231"/>
      <c r="V24" s="262">
        <f>IF(C24="",NA(),IF(OR(C24="Smelter not listed",C24="Smelter not yet identified"),MATCH($B24&amp;$D24,'Smelter Look-up'!$J:$J,0),MATCH($B24&amp;$C24,'Smelter Look-up'!$J:$J,0)))</f>
        <v>427</v>
      </c>
      <c r="W24" s="263"/>
      <c r="X24" s="263">
        <f t="shared" ca="1" si="4"/>
        <v>0</v>
      </c>
      <c r="Y24" s="263"/>
      <c r="Z24" s="263"/>
      <c r="AB24" s="265" t="str">
        <f t="shared" si="5"/>
        <v>TinFenix Metals</v>
      </c>
    </row>
    <row r="25" spans="1:28" s="264" customFormat="1" ht="89.25">
      <c r="A25" s="208" t="s">
        <v>770</v>
      </c>
      <c r="B25" s="208" t="s">
        <v>1131</v>
      </c>
      <c r="C25" s="212" t="s">
        <v>2158</v>
      </c>
      <c r="D25" s="270"/>
      <c r="E25" s="208" t="str">
        <f ca="1">IF(ISERROR($V25),"",OFFSET('Smelter Look-up'!$D$4,$V25-4,0)&amp;"")</f>
        <v>CHINA</v>
      </c>
      <c r="F25" s="208" t="str">
        <f ca="1">IF(ISERROR($V25),"",OFFSET('Smelter Look-up'!$E$4,$V25-4,0))</f>
        <v>CID000538</v>
      </c>
      <c r="G25" s="208" t="str">
        <f ca="1">IF(C25=$X$4,IF(ISERROR($V25),"Enter smelter details","RMI"),IF(ISERROR($V25),"",OFFSET('Smelter Look-up'!$F$4,$V25-4,0)))</f>
        <v>RMI</v>
      </c>
      <c r="H25" s="209">
        <f ca="1">IF(ISERROR($V25),"",OFFSET('Smelter Look-up'!$G$4,$V25-4,0))</f>
        <v>0</v>
      </c>
      <c r="I25" s="210" t="str">
        <f ca="1">IF(ISERROR($V25),"",OFFSET('Smelter Look-up'!$H$4,$V25-4,0))</f>
        <v>Gejiu</v>
      </c>
      <c r="J25" s="210" t="str">
        <f ca="1">IF(ISERROR($V25),"",OFFSET('Smelter Look-up'!$I$4,$V25-4,0))</f>
        <v>Yunnan Sheng</v>
      </c>
      <c r="K25" s="260"/>
      <c r="L25" s="260"/>
      <c r="M25" s="260"/>
      <c r="N25" s="260"/>
      <c r="O25" s="260"/>
      <c r="P25" s="211"/>
      <c r="Q25" s="261"/>
      <c r="R25" s="208" t="str">
        <f ca="1">IF(ISERROR($V25),"",OFFSET('Smelter Look-up'!$C$4,$V25-4,0)&amp;"")</f>
        <v>Gejiu Non-Ferrous Metal Processing Co., Ltd.</v>
      </c>
      <c r="S25" s="215" t="str">
        <f t="shared" ca="1" si="3"/>
        <v>CN</v>
      </c>
      <c r="T25" s="215" t="str">
        <f ca="1">IF(B25="","",IF(ISERROR(MATCH($J25,SorP!$B$1:$B$6230,0)),"",INDIRECT("'SorP'!$A$"&amp;MATCH($J25,SorP!$B$1:$B$6230,0))))</f>
        <v>CN-YN</v>
      </c>
      <c r="U25" s="231"/>
      <c r="V25" s="262">
        <f>IF(C25="",NA(),IF(OR(C25="Smelter not listed",C25="Smelter not yet identified"),MATCH($B25&amp;$D25,'Smelter Look-up'!$J:$J,0),MATCH($B25&amp;$C25,'Smelter Look-up'!$J:$J,0)))</f>
        <v>433</v>
      </c>
      <c r="W25" s="263"/>
      <c r="X25" s="263">
        <f t="shared" ca="1" si="4"/>
        <v>0</v>
      </c>
      <c r="Y25" s="263"/>
      <c r="Z25" s="263"/>
      <c r="AB25" s="265" t="str">
        <f t="shared" si="5"/>
        <v>TinGejiu Non-Ferrous Metal Processing Co., Ltd.</v>
      </c>
    </row>
    <row r="26" spans="1:28" s="264" customFormat="1" ht="89.25">
      <c r="A26" s="208" t="s">
        <v>771</v>
      </c>
      <c r="B26" s="208" t="s">
        <v>1131</v>
      </c>
      <c r="C26" s="212" t="s">
        <v>1785</v>
      </c>
      <c r="D26" s="270"/>
      <c r="E26" s="208" t="str">
        <f ca="1">IF(ISERROR($V26),"",OFFSET('Smelter Look-up'!$D$4,$V26-4,0)&amp;"")</f>
        <v>CHINA</v>
      </c>
      <c r="F26" s="208" t="str">
        <f ca="1">IF(ISERROR($V26),"",OFFSET('Smelter Look-up'!$E$4,$V26-4,0))</f>
        <v>CID000555</v>
      </c>
      <c r="G26" s="208" t="str">
        <f ca="1">IF(C26=$X$4,IF(ISERROR($V26),"Enter smelter details","RMI"),IF(ISERROR($V26),"",OFFSET('Smelter Look-up'!$F$4,$V26-4,0)))</f>
        <v>RMI</v>
      </c>
      <c r="H26" s="209">
        <f ca="1">IF(ISERROR($V26),"",OFFSET('Smelter Look-up'!$G$4,$V26-4,0))</f>
        <v>0</v>
      </c>
      <c r="I26" s="210" t="str">
        <f ca="1">IF(ISERROR($V26),"",OFFSET('Smelter Look-up'!$H$4,$V26-4,0))</f>
        <v>Gejiu</v>
      </c>
      <c r="J26" s="210" t="str">
        <f ca="1">IF(ISERROR($V26),"",OFFSET('Smelter Look-up'!$I$4,$V26-4,0))</f>
        <v>Yunnan Sheng</v>
      </c>
      <c r="K26" s="260"/>
      <c r="L26" s="260"/>
      <c r="M26" s="260"/>
      <c r="N26" s="260"/>
      <c r="O26" s="260"/>
      <c r="P26" s="211"/>
      <c r="Q26" s="261"/>
      <c r="R26" s="208" t="str">
        <f ca="1">IF(ISERROR($V26),"",OFFSET('Smelter Look-up'!$C$4,$V26-4,0)&amp;"")</f>
        <v>Gejiu Zili Mining And Metallurgy Co., Ltd.</v>
      </c>
      <c r="S26" s="215" t="str">
        <f t="shared" ca="1" si="3"/>
        <v>CN</v>
      </c>
      <c r="T26" s="215" t="str">
        <f ca="1">IF(B26="","",IF(ISERROR(MATCH($J26,SorP!$B$1:$B$6230,0)),"",INDIRECT("'SorP'!$A$"&amp;MATCH($J26,SorP!$B$1:$B$6230,0))))</f>
        <v>CN-YN</v>
      </c>
      <c r="U26" s="231"/>
      <c r="V26" s="262">
        <f>IF(C26="",NA(),IF(OR(C26="Smelter not listed",C26="Smelter not yet identified"),MATCH($B26&amp;$D26,'Smelter Look-up'!$J:$J,0),MATCH($B26&amp;$C26,'Smelter Look-up'!$J:$J,0)))</f>
        <v>436</v>
      </c>
      <c r="W26" s="263"/>
      <c r="X26" s="263">
        <f t="shared" ca="1" si="4"/>
        <v>0</v>
      </c>
      <c r="Y26" s="263"/>
      <c r="Z26" s="263"/>
      <c r="AB26" s="265" t="str">
        <f t="shared" si="5"/>
        <v>TinGejiu Zili Mining And Metallurgy Co., Ltd.</v>
      </c>
    </row>
    <row r="27" spans="1:28" s="264" customFormat="1" ht="89.25">
      <c r="A27" s="208" t="s">
        <v>772</v>
      </c>
      <c r="B27" s="208" t="s">
        <v>1131</v>
      </c>
      <c r="C27" s="212" t="s">
        <v>1427</v>
      </c>
      <c r="D27" s="270"/>
      <c r="E27" s="208" t="str">
        <f ca="1">IF(ISERROR($V27),"",OFFSET('Smelter Look-up'!$D$4,$V27-4,0)&amp;"")</f>
        <v>CHINA</v>
      </c>
      <c r="F27" s="208" t="str">
        <f ca="1">IF(ISERROR($V27),"",OFFSET('Smelter Look-up'!$E$4,$V27-4,0))</f>
        <v>CID000942</v>
      </c>
      <c r="G27" s="208" t="str">
        <f ca="1">IF(C27=$X$4,IF(ISERROR($V27),"Enter smelter details","RMI"),IF(ISERROR($V27),"",OFFSET('Smelter Look-up'!$F$4,$V27-4,0)))</f>
        <v>RMI</v>
      </c>
      <c r="H27" s="209">
        <f ca="1">IF(ISERROR($V27),"",OFFSET('Smelter Look-up'!$G$4,$V27-4,0))</f>
        <v>0</v>
      </c>
      <c r="I27" s="210" t="str">
        <f ca="1">IF(ISERROR($V27),"",OFFSET('Smelter Look-up'!$H$4,$V27-4,0))</f>
        <v>Gejiu</v>
      </c>
      <c r="J27" s="210" t="str">
        <f ca="1">IF(ISERROR($V27),"",OFFSET('Smelter Look-up'!$I$4,$V27-4,0))</f>
        <v>Yunnan Sheng</v>
      </c>
      <c r="K27" s="260"/>
      <c r="L27" s="260"/>
      <c r="M27" s="260"/>
      <c r="N27" s="260"/>
      <c r="O27" s="260"/>
      <c r="P27" s="211"/>
      <c r="Q27" s="261"/>
      <c r="R27" s="208" t="str">
        <f ca="1">IF(ISERROR($V27),"",OFFSET('Smelter Look-up'!$C$4,$V27-4,0)&amp;"")</f>
        <v>Gejiu Kai Meng Industry and Trade LLC</v>
      </c>
      <c r="S27" s="215" t="str">
        <f t="shared" ca="1" si="3"/>
        <v>CN</v>
      </c>
      <c r="T27" s="215" t="str">
        <f ca="1">IF(B27="","",IF(ISERROR(MATCH($J27,SorP!$B$1:$B$6230,0)),"",INDIRECT("'SorP'!$A$"&amp;MATCH($J27,SorP!$B$1:$B$6230,0))))</f>
        <v>CN-YN</v>
      </c>
      <c r="U27" s="231"/>
      <c r="V27" s="262">
        <f>IF(C27="",NA(),IF(OR(C27="Smelter not listed",C27="Smelter not yet identified"),MATCH($B27&amp;$D27,'Smelter Look-up'!$J:$J,0),MATCH($B27&amp;$C27,'Smelter Look-up'!$J:$J,0)))</f>
        <v>432</v>
      </c>
      <c r="W27" s="263"/>
      <c r="X27" s="263">
        <f t="shared" ca="1" si="4"/>
        <v>0</v>
      </c>
      <c r="Y27" s="263"/>
      <c r="Z27" s="263"/>
      <c r="AB27" s="265" t="str">
        <f t="shared" si="5"/>
        <v>TinGejiu Kai Meng Industry and Trade LLC</v>
      </c>
    </row>
    <row r="28" spans="1:28" s="264" customFormat="1" ht="63.75">
      <c r="A28" s="208" t="s">
        <v>773</v>
      </c>
      <c r="B28" s="208" t="s">
        <v>1131</v>
      </c>
      <c r="C28" s="212" t="s">
        <v>1327</v>
      </c>
      <c r="D28" s="270"/>
      <c r="E28" s="208" t="str">
        <f ca="1">IF(ISERROR($V28),"",OFFSET('Smelter Look-up'!$D$4,$V28-4,0)&amp;"")</f>
        <v>CHINA</v>
      </c>
      <c r="F28" s="208" t="str">
        <f ca="1">IF(ISERROR($V28),"",OFFSET('Smelter Look-up'!$E$4,$V28-4,0))</f>
        <v>CID001070</v>
      </c>
      <c r="G28" s="208" t="str">
        <f ca="1">IF(C28=$X$4,IF(ISERROR($V28),"Enter smelter details","RMI"),IF(ISERROR($V28),"",OFFSET('Smelter Look-up'!$F$4,$V28-4,0)))</f>
        <v>RMI</v>
      </c>
      <c r="H28" s="209">
        <f ca="1">IF(ISERROR($V28),"",OFFSET('Smelter Look-up'!$G$4,$V28-4,0))</f>
        <v>0</v>
      </c>
      <c r="I28" s="210" t="str">
        <f ca="1">IF(ISERROR($V28),"",OFFSET('Smelter Look-up'!$H$4,$V28-4,0))</f>
        <v>Laibin</v>
      </c>
      <c r="J28" s="210" t="str">
        <f ca="1">IF(ISERROR($V28),"",OFFSET('Smelter Look-up'!$I$4,$V28-4,0))</f>
        <v>Guangxi Zhuangzu Zizhiqu</v>
      </c>
      <c r="K28" s="260"/>
      <c r="L28" s="260"/>
      <c r="M28" s="260"/>
      <c r="N28" s="260"/>
      <c r="O28" s="260"/>
      <c r="P28" s="211"/>
      <c r="Q28" s="261"/>
      <c r="R28" s="208" t="str">
        <f ca="1">IF(ISERROR($V28),"",OFFSET('Smelter Look-up'!$C$4,$V28-4,0)&amp;"")</f>
        <v>China Tin Group Co., Ltd.</v>
      </c>
      <c r="S28" s="215" t="str">
        <f t="shared" ca="1" si="3"/>
        <v>CN</v>
      </c>
      <c r="T28" s="215" t="str">
        <f ca="1">IF(B28="","",IF(ISERROR(MATCH($J28,SorP!$B$1:$B$6230,0)),"",INDIRECT("'SorP'!$A$"&amp;MATCH($J28,SorP!$B$1:$B$6230,0))))</f>
        <v>CN-GX</v>
      </c>
      <c r="U28" s="231"/>
      <c r="V28" s="262">
        <f>IF(C28="",NA(),IF(OR(C28="Smelter not listed",C28="Smelter not yet identified"),MATCH($B28&amp;$D28,'Smelter Look-up'!$J:$J,0),MATCH($B28&amp;$C28,'Smelter Look-up'!$J:$J,0)))</f>
        <v>402</v>
      </c>
      <c r="W28" s="263"/>
      <c r="X28" s="263">
        <f t="shared" ca="1" si="4"/>
        <v>0</v>
      </c>
      <c r="Y28" s="263"/>
      <c r="Z28" s="263"/>
      <c r="AB28" s="265" t="str">
        <f t="shared" si="5"/>
        <v>TinChina Tin Group Co., Ltd.</v>
      </c>
    </row>
    <row r="29" spans="1:28" s="264" customFormat="1" ht="76.5">
      <c r="A29" s="208" t="s">
        <v>774</v>
      </c>
      <c r="B29" s="208" t="s">
        <v>1131</v>
      </c>
      <c r="C29" s="212" t="s">
        <v>821</v>
      </c>
      <c r="D29" s="270"/>
      <c r="E29" s="208" t="str">
        <f ca="1">IF(ISERROR($V29),"",OFFSET('Smelter Look-up'!$D$4,$V29-4,0)&amp;"")</f>
        <v>MALAYSIA</v>
      </c>
      <c r="F29" s="208" t="str">
        <f ca="1">IF(ISERROR($V29),"",OFFSET('Smelter Look-up'!$E$4,$V29-4,0))</f>
        <v>CID001105</v>
      </c>
      <c r="G29" s="208" t="str">
        <f ca="1">IF(C29=$X$4,IF(ISERROR($V29),"Enter smelter details","RMI"),IF(ISERROR($V29),"",OFFSET('Smelter Look-up'!$F$4,$V29-4,0)))</f>
        <v>RMI</v>
      </c>
      <c r="H29" s="209">
        <f ca="1">IF(ISERROR($V29),"",OFFSET('Smelter Look-up'!$G$4,$V29-4,0))</f>
        <v>0</v>
      </c>
      <c r="I29" s="210" t="str">
        <f ca="1">IF(ISERROR($V29),"",OFFSET('Smelter Look-up'!$H$4,$V29-4,0))</f>
        <v>Butterworth</v>
      </c>
      <c r="J29" s="210" t="str">
        <f ca="1">IF(ISERROR($V29),"",OFFSET('Smelter Look-up'!$I$4,$V29-4,0))</f>
        <v>Pulau Pinang</v>
      </c>
      <c r="K29" s="260"/>
      <c r="L29" s="260"/>
      <c r="M29" s="260"/>
      <c r="N29" s="260"/>
      <c r="O29" s="260"/>
      <c r="P29" s="211"/>
      <c r="Q29" s="261"/>
      <c r="R29" s="208" t="str">
        <f ca="1">IF(ISERROR($V29),"",OFFSET('Smelter Look-up'!$C$4,$V29-4,0)&amp;"")</f>
        <v>Malaysia Smelting Corporation (MSC)</v>
      </c>
      <c r="S29" s="215" t="str">
        <f t="shared" ca="1" si="3"/>
        <v>MY</v>
      </c>
      <c r="T29" s="215" t="str">
        <f ca="1">IF(B29="","",IF(ISERROR(MATCH($J29,SorP!$B$1:$B$6230,0)),"",INDIRECT("'SorP'!$A$"&amp;MATCH($J29,SorP!$B$1:$B$6230,0))))</f>
        <v>MY-07</v>
      </c>
      <c r="U29" s="231"/>
      <c r="V29" s="262">
        <f>IF(C29="",NA(),IF(OR(C29="Smelter not listed",C29="Smelter not yet identified"),MATCH($B29&amp;$D29,'Smelter Look-up'!$J:$J,0),MATCH($B29&amp;$C29,'Smelter Look-up'!$J:$J,0)))</f>
        <v>457</v>
      </c>
      <c r="W29" s="263"/>
      <c r="X29" s="263">
        <f t="shared" ca="1" si="4"/>
        <v>0</v>
      </c>
      <c r="Y29" s="263"/>
      <c r="Z29" s="263"/>
      <c r="AB29" s="265" t="str">
        <f t="shared" si="5"/>
        <v>TinMalaysia Smelting Corporation (MSC)</v>
      </c>
    </row>
    <row r="30" spans="1:28" s="264" customFormat="1" ht="89.25">
      <c r="A30" s="208" t="s">
        <v>772</v>
      </c>
      <c r="B30" s="208" t="s">
        <v>1131</v>
      </c>
      <c r="C30" s="212" t="s">
        <v>1427</v>
      </c>
      <c r="D30" s="270"/>
      <c r="E30" s="208" t="str">
        <f ca="1">IF(ISERROR($V30),"",OFFSET('Smelter Look-up'!$D$4,$V30-4,0)&amp;"")</f>
        <v>CHINA</v>
      </c>
      <c r="F30" s="208" t="str">
        <f ca="1">IF(ISERROR($V30),"",OFFSET('Smelter Look-up'!$E$4,$V30-4,0))</f>
        <v>CID000942</v>
      </c>
      <c r="G30" s="208" t="str">
        <f ca="1">IF(C30=$X$4,IF(ISERROR($V30),"Enter smelter details","RMI"),IF(ISERROR($V30),"",OFFSET('Smelter Look-up'!$F$4,$V30-4,0)))</f>
        <v>RMI</v>
      </c>
      <c r="H30" s="209">
        <f ca="1">IF(ISERROR($V30),"",OFFSET('Smelter Look-up'!$G$4,$V30-4,0))</f>
        <v>0</v>
      </c>
      <c r="I30" s="210" t="str">
        <f ca="1">IF(ISERROR($V30),"",OFFSET('Smelter Look-up'!$H$4,$V30-4,0))</f>
        <v>Gejiu</v>
      </c>
      <c r="J30" s="210" t="str">
        <f ca="1">IF(ISERROR($V30),"",OFFSET('Smelter Look-up'!$I$4,$V30-4,0))</f>
        <v>Yunnan Sheng</v>
      </c>
      <c r="K30" s="260"/>
      <c r="L30" s="260"/>
      <c r="M30" s="260"/>
      <c r="N30" s="260"/>
      <c r="O30" s="260"/>
      <c r="P30" s="211"/>
      <c r="Q30" s="261"/>
      <c r="R30" s="208" t="str">
        <f ca="1">IF(ISERROR($V30),"",OFFSET('Smelter Look-up'!$C$4,$V30-4,0)&amp;"")</f>
        <v>Gejiu Kai Meng Industry and Trade LLC</v>
      </c>
      <c r="S30" s="215" t="str">
        <f t="shared" ca="1" si="3"/>
        <v>CN</v>
      </c>
      <c r="T30" s="215" t="str">
        <f ca="1">IF(B30="","",IF(ISERROR(MATCH($J30,SorP!$B$1:$B$6230,0)),"",INDIRECT("'SorP'!$A$"&amp;MATCH($J30,SorP!$B$1:$B$6230,0))))</f>
        <v>CN-YN</v>
      </c>
      <c r="U30" s="231"/>
      <c r="V30" s="262">
        <f>IF(C30="",NA(),IF(OR(C30="Smelter not listed",C30="Smelter not yet identified"),MATCH($B30&amp;$D30,'Smelter Look-up'!$J:$J,0),MATCH($B30&amp;$C30,'Smelter Look-up'!$J:$J,0)))</f>
        <v>432</v>
      </c>
      <c r="W30" s="263"/>
      <c r="X30" s="263">
        <f t="shared" ca="1" si="4"/>
        <v>0</v>
      </c>
      <c r="Y30" s="263"/>
      <c r="Z30" s="263"/>
      <c r="AB30" s="265" t="str">
        <f t="shared" si="5"/>
        <v>TinGejiu Kai Meng Industry and Trade LLC</v>
      </c>
    </row>
    <row r="31" spans="1:28" s="264" customFormat="1" ht="51">
      <c r="A31" s="208" t="s">
        <v>1794</v>
      </c>
      <c r="B31" s="208" t="s">
        <v>1131</v>
      </c>
      <c r="C31" s="212" t="s">
        <v>2163</v>
      </c>
      <c r="D31" s="270"/>
      <c r="E31" s="208" t="str">
        <f ca="1">IF(ISERROR($V31),"",OFFSET('Smelter Look-up'!$D$4,$V31-4,0)&amp;"")</f>
        <v>UNITED STATES OF AMERICA</v>
      </c>
      <c r="F31" s="208" t="str">
        <f ca="1">IF(ISERROR($V31),"",OFFSET('Smelter Look-up'!$E$4,$V31-4,0))</f>
        <v>CID001142</v>
      </c>
      <c r="G31" s="208" t="str">
        <f ca="1">IF(C31=$X$4,IF(ISERROR($V31),"Enter smelter details","RMI"),IF(ISERROR($V31),"",OFFSET('Smelter Look-up'!$F$4,$V31-4,0)))</f>
        <v>RMI</v>
      </c>
      <c r="H31" s="209">
        <f ca="1">IF(ISERROR($V31),"",OFFSET('Smelter Look-up'!$G$4,$V31-4,0))</f>
        <v>0</v>
      </c>
      <c r="I31" s="210" t="str">
        <f ca="1">IF(ISERROR($V31),"",OFFSET('Smelter Look-up'!$H$4,$V31-4,0))</f>
        <v>Twinsburg</v>
      </c>
      <c r="J31" s="210" t="str">
        <f ca="1">IF(ISERROR($V31),"",OFFSET('Smelter Look-up'!$I$4,$V31-4,0))</f>
        <v>Ohio</v>
      </c>
      <c r="K31" s="260"/>
      <c r="L31" s="260"/>
      <c r="M31" s="260"/>
      <c r="N31" s="260"/>
      <c r="O31" s="260"/>
      <c r="P31" s="211"/>
      <c r="Q31" s="261"/>
      <c r="R31" s="208" t="str">
        <f ca="1">IF(ISERROR($V31),"",OFFSET('Smelter Look-up'!$C$4,$V31-4,0)&amp;"")</f>
        <v>Metallic Resources, Inc.</v>
      </c>
      <c r="S31" s="215" t="str">
        <f t="shared" ca="1" si="3"/>
        <v>US</v>
      </c>
      <c r="T31" s="215" t="str">
        <f ca="1">IF(B31="","",IF(ISERROR(MATCH($J31,SorP!$B$1:$B$6230,0)),"",INDIRECT("'SorP'!$A$"&amp;MATCH($J31,SorP!$B$1:$B$6230,0))))</f>
        <v>US-OH</v>
      </c>
      <c r="U31" s="231"/>
      <c r="V31" s="262">
        <f>IF(C31="",NA(),IF(OR(C31="Smelter not listed",C31="Smelter not yet identified"),MATCH($B31&amp;$D31,'Smelter Look-up'!$J:$J,0),MATCH($B31&amp;$C31,'Smelter Look-up'!$J:$J,0)))</f>
        <v>461</v>
      </c>
      <c r="W31" s="263"/>
      <c r="X31" s="263">
        <f t="shared" ca="1" si="4"/>
        <v>0</v>
      </c>
      <c r="Y31" s="263"/>
      <c r="Z31" s="263"/>
      <c r="AB31" s="265" t="str">
        <f t="shared" si="5"/>
        <v>TinMetallic Resources, Inc.</v>
      </c>
    </row>
    <row r="32" spans="1:28" s="264" customFormat="1" ht="51">
      <c r="A32" s="208" t="s">
        <v>775</v>
      </c>
      <c r="B32" s="208" t="s">
        <v>1131</v>
      </c>
      <c r="C32" s="212" t="s">
        <v>12509</v>
      </c>
      <c r="D32" s="270"/>
      <c r="E32" s="208" t="str">
        <f ca="1">IF(ISERROR($V32),"",OFFSET('Smelter Look-up'!$D$4,$V32-4,0)&amp;"")</f>
        <v>BRAZIL</v>
      </c>
      <c r="F32" s="208" t="str">
        <f ca="1">IF(ISERROR($V32),"",OFFSET('Smelter Look-up'!$E$4,$V32-4,0))</f>
        <v>CID001173</v>
      </c>
      <c r="G32" s="208" t="str">
        <f ca="1">IF(C32=$X$4,IF(ISERROR($V32),"Enter smelter details","RMI"),IF(ISERROR($V32),"",OFFSET('Smelter Look-up'!$F$4,$V32-4,0)))</f>
        <v>RMI</v>
      </c>
      <c r="H32" s="209">
        <f ca="1">IF(ISERROR($V32),"",OFFSET('Smelter Look-up'!$G$4,$V32-4,0))</f>
        <v>0</v>
      </c>
      <c r="I32" s="210" t="str">
        <f ca="1">IF(ISERROR($V32),"",OFFSET('Smelter Look-up'!$H$4,$V32-4,0))</f>
        <v>Bairro Guarapiranga</v>
      </c>
      <c r="J32" s="210" t="str">
        <f ca="1">IF(ISERROR($V32),"",OFFSET('Smelter Look-up'!$I$4,$V32-4,0))</f>
        <v>São Paulo</v>
      </c>
      <c r="K32" s="260"/>
      <c r="L32" s="260"/>
      <c r="M32" s="260"/>
      <c r="N32" s="260"/>
      <c r="O32" s="260"/>
      <c r="P32" s="211"/>
      <c r="Q32" s="261"/>
      <c r="R32" s="208" t="str">
        <f ca="1">IF(ISERROR($V32),"",OFFSET('Smelter Look-up'!$C$4,$V32-4,0)&amp;"")</f>
        <v>Mineracao Taboca S.A.</v>
      </c>
      <c r="S32" s="215" t="str">
        <f t="shared" ca="1" si="3"/>
        <v>BR</v>
      </c>
      <c r="T32" s="215" t="str">
        <f ca="1">IF(B32="","",IF(ISERROR(MATCH($J32,SorP!$B$1:$B$6230,0)),"",INDIRECT("'SorP'!$A$"&amp;MATCH($J32,SorP!$B$1:$B$6230,0))))</f>
        <v>BR-SP</v>
      </c>
      <c r="U32" s="231"/>
      <c r="V32" s="262">
        <f>IF(C32="",NA(),IF(OR(C32="Smelter not listed",C32="Smelter not yet identified"),MATCH($B32&amp;$D32,'Smelter Look-up'!$J:$J,0),MATCH($B32&amp;$C32,'Smelter Look-up'!$J:$J,0)))</f>
        <v>464</v>
      </c>
      <c r="W32" s="263"/>
      <c r="X32" s="263">
        <f t="shared" ca="1" si="4"/>
        <v>0</v>
      </c>
      <c r="Y32" s="263"/>
      <c r="Z32" s="263"/>
      <c r="AB32" s="265" t="str">
        <f t="shared" si="5"/>
        <v>TinMineracao Taboca S.A.</v>
      </c>
    </row>
    <row r="33" spans="1:28" s="264" customFormat="1" ht="102">
      <c r="A33" s="208" t="s">
        <v>790</v>
      </c>
      <c r="B33" s="208" t="s">
        <v>1131</v>
      </c>
      <c r="C33" s="212" t="s">
        <v>2181</v>
      </c>
      <c r="D33" s="270"/>
      <c r="E33" s="208" t="str">
        <f ca="1">IF(ISERROR($V33),"",OFFSET('Smelter Look-up'!$D$4,$V33-4,0)&amp;"")</f>
        <v>CHINA</v>
      </c>
      <c r="F33" s="208" t="str">
        <f ca="1">IF(ISERROR($V33),"",OFFSET('Smelter Look-up'!$E$4,$V33-4,0))</f>
        <v>CID002158</v>
      </c>
      <c r="G33" s="208" t="str">
        <f ca="1">IF(C33=$X$4,IF(ISERROR($V33),"Enter smelter details","RMI"),IF(ISERROR($V33),"",OFFSET('Smelter Look-up'!$F$4,$V33-4,0)))</f>
        <v>RMI</v>
      </c>
      <c r="H33" s="209">
        <f ca="1">IF(ISERROR($V33),"",OFFSET('Smelter Look-up'!$G$4,$V33-4,0))</f>
        <v>0</v>
      </c>
      <c r="I33" s="210" t="str">
        <f ca="1">IF(ISERROR($V33),"",OFFSET('Smelter Look-up'!$H$4,$V33-4,0))</f>
        <v>Gejiu</v>
      </c>
      <c r="J33" s="210" t="str">
        <f ca="1">IF(ISERROR($V33),"",OFFSET('Smelter Look-up'!$I$4,$V33-4,0))</f>
        <v>Yunnan Sheng</v>
      </c>
      <c r="K33" s="260"/>
      <c r="L33" s="260"/>
      <c r="M33" s="260"/>
      <c r="N33" s="260"/>
      <c r="O33" s="260"/>
      <c r="P33" s="211"/>
      <c r="Q33" s="261"/>
      <c r="R33" s="208" t="str">
        <f ca="1">IF(ISERROR($V33),"",OFFSET('Smelter Look-up'!$C$4,$V33-4,0)&amp;"")</f>
        <v>Yunnan Chengfeng Non-ferrous Metals Co., Ltd.</v>
      </c>
      <c r="S33" s="215" t="str">
        <f t="shared" ca="1" si="3"/>
        <v>CN</v>
      </c>
      <c r="T33" s="215" t="str">
        <f ca="1">IF(B33="","",IF(ISERROR(MATCH($J33,SorP!$B$1:$B$6230,0)),"",INDIRECT("'SorP'!$A$"&amp;MATCH($J33,SorP!$B$1:$B$6230,0))))</f>
        <v>CN-YN</v>
      </c>
      <c r="U33" s="231"/>
      <c r="V33" s="262">
        <f>IF(C33="",NA(),IF(OR(C33="Smelter not listed",C33="Smelter not yet identified"),MATCH($B33&amp;$D33,'Smelter Look-up'!$J:$J,0),MATCH($B33&amp;$C33,'Smelter Look-up'!$J:$J,0)))</f>
        <v>540</v>
      </c>
      <c r="W33" s="263"/>
      <c r="X33" s="263">
        <f t="shared" ca="1" si="4"/>
        <v>0</v>
      </c>
      <c r="Y33" s="263"/>
      <c r="Z33" s="263"/>
      <c r="AB33" s="265" t="str">
        <f t="shared" si="5"/>
        <v>TinYunnan Chengfeng Non-ferrous Metals Co., Ltd.</v>
      </c>
    </row>
    <row r="34" spans="1:28" s="264" customFormat="1" ht="63.75">
      <c r="A34" s="208" t="s">
        <v>1801</v>
      </c>
      <c r="B34" s="208" t="s">
        <v>1131</v>
      </c>
      <c r="C34" s="212" t="s">
        <v>13261</v>
      </c>
      <c r="D34" s="270"/>
      <c r="E34" s="208" t="str">
        <f ca="1">IF(ISERROR($V34),"",OFFSET('Smelter Look-up'!$D$4,$V34-4,0)&amp;"")</f>
        <v>CHINA</v>
      </c>
      <c r="F34" s="208" t="str">
        <f ca="1">IF(ISERROR($V34),"",OFFSET('Smelter Look-up'!$E$4,$V34-4,0))</f>
        <v>CID001231</v>
      </c>
      <c r="G34" s="208" t="str">
        <f ca="1">IF(C34=$X$4,IF(ISERROR($V34),"Enter smelter details","RMI"),IF(ISERROR($V34),"",OFFSET('Smelter Look-up'!$F$4,$V34-4,0)))</f>
        <v>RMI</v>
      </c>
      <c r="H34" s="209">
        <f ca="1">IF(ISERROR($V34),"",OFFSET('Smelter Look-up'!$G$4,$V34-4,0))</f>
        <v>0</v>
      </c>
      <c r="I34" s="210" t="str">
        <f ca="1">IF(ISERROR($V34),"",OFFSET('Smelter Look-up'!$H$4,$V34-4,0))</f>
        <v>Ganzhou</v>
      </c>
      <c r="J34" s="210" t="str">
        <f ca="1">IF(ISERROR($V34),"",OFFSET('Smelter Look-up'!$I$4,$V34-4,0))</f>
        <v>Jiangxi Sheng</v>
      </c>
      <c r="K34" s="260"/>
      <c r="L34" s="260"/>
      <c r="M34" s="260"/>
      <c r="N34" s="260"/>
      <c r="O34" s="260"/>
      <c r="P34" s="211"/>
      <c r="Q34" s="261"/>
      <c r="R34" s="208" t="str">
        <f ca="1">IF(ISERROR($V34),"",OFFSET('Smelter Look-up'!$C$4,$V34-4,0)&amp;"")</f>
        <v>Jiangxi New Nanshan Technology Ltd.</v>
      </c>
      <c r="S34" s="215" t="str">
        <f t="shared" ca="1" si="3"/>
        <v>CN</v>
      </c>
      <c r="T34" s="215" t="str">
        <f ca="1">IF(B34="","",IF(ISERROR(MATCH($J34,SorP!$B$1:$B$6230,0)),"",INDIRECT("'SorP'!$A$"&amp;MATCH($J34,SorP!$B$1:$B$6230,0))))</f>
        <v>CN-JX</v>
      </c>
      <c r="U34" s="231"/>
      <c r="V34" s="262">
        <f>IF(C34="",NA(),IF(OR(C34="Smelter not listed",C34="Smelter not yet identified"),MATCH($B34&amp;$D34,'Smelter Look-up'!$J:$J,0),MATCH($B34&amp;$C34,'Smelter Look-up'!$J:$J,0)))</f>
        <v>448</v>
      </c>
      <c r="W34" s="263"/>
      <c r="X34" s="263">
        <f t="shared" ca="1" si="4"/>
        <v>0</v>
      </c>
      <c r="Y34" s="263"/>
      <c r="Z34" s="263"/>
      <c r="AB34" s="265" t="str">
        <f t="shared" si="5"/>
        <v>TinJiangxi New Nanshan Technology Ltd.</v>
      </c>
    </row>
    <row r="35" spans="1:28" s="264" customFormat="1" ht="76.5">
      <c r="A35" s="208" t="s">
        <v>779</v>
      </c>
      <c r="B35" s="208" t="s">
        <v>1131</v>
      </c>
      <c r="C35" s="212" t="s">
        <v>778</v>
      </c>
      <c r="D35" s="270"/>
      <c r="E35" s="208" t="str">
        <f ca="1">IF(ISERROR($V35),"",OFFSET('Smelter Look-up'!$D$4,$V35-4,0)&amp;"")</f>
        <v>THAILAND</v>
      </c>
      <c r="F35" s="208" t="str">
        <f ca="1">IF(ISERROR($V35),"",OFFSET('Smelter Look-up'!$E$4,$V35-4,0))</f>
        <v>CID001314</v>
      </c>
      <c r="G35" s="208" t="str">
        <f ca="1">IF(C35=$X$4,IF(ISERROR($V35),"Enter smelter details","RMI"),IF(ISERROR($V35),"",OFFSET('Smelter Look-up'!$F$4,$V35-4,0)))</f>
        <v>RMI</v>
      </c>
      <c r="H35" s="209">
        <f ca="1">IF(ISERROR($V35),"",OFFSET('Smelter Look-up'!$G$4,$V35-4,0))</f>
        <v>0</v>
      </c>
      <c r="I35" s="210" t="str">
        <f ca="1">IF(ISERROR($V35),"",OFFSET('Smelter Look-up'!$H$4,$V35-4,0))</f>
        <v>Nongkham Sriracha</v>
      </c>
      <c r="J35" s="210" t="str">
        <f ca="1">IF(ISERROR($V35),"",OFFSET('Smelter Look-up'!$I$4,$V35-4,0))</f>
        <v>Chon Buri</v>
      </c>
      <c r="K35" s="260"/>
      <c r="L35" s="260"/>
      <c r="M35" s="260"/>
      <c r="N35" s="260"/>
      <c r="O35" s="260"/>
      <c r="P35" s="211"/>
      <c r="Q35" s="261"/>
      <c r="R35" s="208" t="str">
        <f ca="1">IF(ISERROR($V35),"",OFFSET('Smelter Look-up'!$C$4,$V35-4,0)&amp;"")</f>
        <v>O.M. Manufacturing (Thailand) Co., Ltd.</v>
      </c>
      <c r="S35" s="215" t="str">
        <f t="shared" ca="1" si="3"/>
        <v>TH</v>
      </c>
      <c r="T35" s="215" t="str">
        <f ca="1">IF(B35="","",IF(ISERROR(MATCH($J35,SorP!$B$1:$B$6230,0)),"",INDIRECT("'SorP'!$A$"&amp;MATCH($J35,SorP!$B$1:$B$6230,0))))</f>
        <v>TH-20</v>
      </c>
      <c r="U35" s="231"/>
      <c r="V35" s="262">
        <f>IF(C35="",NA(),IF(OR(C35="Smelter not listed",C35="Smelter not yet identified"),MATCH($B35&amp;$D35,'Smelter Look-up'!$J:$J,0),MATCH($B35&amp;$C35,'Smelter Look-up'!$J:$J,0)))</f>
        <v>476</v>
      </c>
      <c r="W35" s="263"/>
      <c r="X35" s="263">
        <f t="shared" ca="1" si="4"/>
        <v>0</v>
      </c>
      <c r="Y35" s="263"/>
      <c r="Z35" s="263"/>
      <c r="AB35" s="265" t="str">
        <f t="shared" si="5"/>
        <v>TinO.M. Manufacturing (Thailand) Co., Ltd.</v>
      </c>
    </row>
    <row r="36" spans="1:28" s="264" customFormat="1" ht="76.5">
      <c r="A36" s="208" t="s">
        <v>777</v>
      </c>
      <c r="B36" s="208" t="s">
        <v>1131</v>
      </c>
      <c r="C36" s="212" t="s">
        <v>1164</v>
      </c>
      <c r="D36" s="270"/>
      <c r="E36" s="208" t="str">
        <f ca="1">IF(ISERROR($V36),"",OFFSET('Smelter Look-up'!$D$4,$V36-4,0)&amp;"")</f>
        <v>JAPAN</v>
      </c>
      <c r="F36" s="208" t="str">
        <f ca="1">IF(ISERROR($V36),"",OFFSET('Smelter Look-up'!$E$4,$V36-4,0))</f>
        <v>CID001191</v>
      </c>
      <c r="G36" s="208" t="str">
        <f ca="1">IF(C36=$X$4,IF(ISERROR($V36),"Enter smelter details","RMI"),IF(ISERROR($V36),"",OFFSET('Smelter Look-up'!$F$4,$V36-4,0)))</f>
        <v>RMI</v>
      </c>
      <c r="H36" s="209">
        <f ca="1">IF(ISERROR($V36),"",OFFSET('Smelter Look-up'!$G$4,$V36-4,0))</f>
        <v>0</v>
      </c>
      <c r="I36" s="210" t="str">
        <f ca="1">IF(ISERROR($V36),"",OFFSET('Smelter Look-up'!$H$4,$V36-4,0))</f>
        <v>Tokyo</v>
      </c>
      <c r="J36" s="210" t="str">
        <f ca="1">IF(ISERROR($V36),"",OFFSET('Smelter Look-up'!$I$4,$V36-4,0))</f>
        <v>Tokyo</v>
      </c>
      <c r="K36" s="260"/>
      <c r="L36" s="260"/>
      <c r="M36" s="260"/>
      <c r="N36" s="260"/>
      <c r="O36" s="260"/>
      <c r="P36" s="211"/>
      <c r="Q36" s="261"/>
      <c r="R36" s="208" t="str">
        <f ca="1">IF(ISERROR($V36),"",OFFSET('Smelter Look-up'!$C$4,$V36-4,0)&amp;"")</f>
        <v>Mitsubishi Materials Corporation</v>
      </c>
      <c r="S36" s="215" t="str">
        <f t="shared" ca="1" si="3"/>
        <v>JP</v>
      </c>
      <c r="T36" s="215" t="str">
        <f ca="1">IF(B36="","",IF(ISERROR(MATCH($J36,SorP!$B$1:$B$6230,0)),"",INDIRECT("'SorP'!$A$"&amp;MATCH($J36,SorP!$B$1:$B$6230,0))))</f>
        <v>JP-13</v>
      </c>
      <c r="U36" s="231"/>
      <c r="V36" s="262">
        <f>IF(C36="",NA(),IF(OR(C36="Smelter not listed",C36="Smelter not yet identified"),MATCH($B36&amp;$D36,'Smelter Look-up'!$J:$J,0),MATCH($B36&amp;$C36,'Smelter Look-up'!$J:$J,0)))</f>
        <v>469</v>
      </c>
      <c r="W36" s="263"/>
      <c r="X36" s="263">
        <f t="shared" ca="1" si="4"/>
        <v>0</v>
      </c>
      <c r="Y36" s="263"/>
      <c r="Z36" s="263"/>
      <c r="AB36" s="265" t="str">
        <f t="shared" si="5"/>
        <v>TinMitsubishi Materials Corporation</v>
      </c>
    </row>
    <row r="37" spans="1:28" s="264" customFormat="1" ht="63.75">
      <c r="A37" s="208" t="s">
        <v>781</v>
      </c>
      <c r="B37" s="208" t="s">
        <v>1131</v>
      </c>
      <c r="C37" s="212" t="s">
        <v>844</v>
      </c>
      <c r="D37" s="270"/>
      <c r="E37" s="208" t="str">
        <f ca="1">IF(ISERROR($V37),"",OFFSET('Smelter Look-up'!$D$4,$V37-4,0)&amp;"")</f>
        <v>INDONESIA</v>
      </c>
      <c r="F37" s="208" t="str">
        <f ca="1">IF(ISERROR($V37),"",OFFSET('Smelter Look-up'!$E$4,$V37-4,0))</f>
        <v>CID001399</v>
      </c>
      <c r="G37" s="208" t="str">
        <f ca="1">IF(C37=$X$4,IF(ISERROR($V37),"Enter smelter details","RMI"),IF(ISERROR($V37),"",OFFSET('Smelter Look-up'!$F$4,$V37-4,0)))</f>
        <v>RMI</v>
      </c>
      <c r="H37" s="209">
        <f ca="1">IF(ISERROR($V37),"",OFFSET('Smelter Look-up'!$G$4,$V37-4,0))</f>
        <v>0</v>
      </c>
      <c r="I37" s="210" t="str">
        <f ca="1">IF(ISERROR($V37),"",OFFSET('Smelter Look-up'!$H$4,$V37-4,0))</f>
        <v>Sungailiat</v>
      </c>
      <c r="J37" s="210" t="str">
        <f ca="1">IF(ISERROR($V37),"",OFFSET('Smelter Look-up'!$I$4,$V37-4,0))</f>
        <v>Kepulauan Bangka Belitung</v>
      </c>
      <c r="K37" s="260"/>
      <c r="L37" s="260"/>
      <c r="M37" s="260"/>
      <c r="N37" s="260"/>
      <c r="O37" s="260"/>
      <c r="P37" s="211"/>
      <c r="Q37" s="261"/>
      <c r="R37" s="208" t="str">
        <f ca="1">IF(ISERROR($V37),"",OFFSET('Smelter Look-up'!$C$4,$V37-4,0)&amp;"")</f>
        <v>PT Artha Cipta Langgeng</v>
      </c>
      <c r="S37" s="215" t="str">
        <f t="shared" ca="1" si="3"/>
        <v>ID</v>
      </c>
      <c r="T37" s="215" t="str">
        <f ca="1">IF(B37="","",IF(ISERROR(MATCH($J37,SorP!$B$1:$B$6230,0)),"",INDIRECT("'SorP'!$A$"&amp;MATCH($J37,SorP!$B$1:$B$6230,0))))</f>
        <v>ID-BB</v>
      </c>
      <c r="U37" s="231"/>
      <c r="V37" s="262">
        <f>IF(C37="",NA(),IF(OR(C37="Smelter not listed",C37="Smelter not yet identified"),MATCH($B37&amp;$D37,'Smelter Look-up'!$J:$J,0),MATCH($B37&amp;$C37,'Smelter Look-up'!$J:$J,0)))</f>
        <v>484</v>
      </c>
      <c r="W37" s="263"/>
      <c r="X37" s="263">
        <f t="shared" ca="1" si="4"/>
        <v>0</v>
      </c>
      <c r="Y37" s="263"/>
      <c r="Z37" s="263"/>
      <c r="AB37" s="265" t="str">
        <f t="shared" si="5"/>
        <v>TinPT Artha Cipta Langgeng</v>
      </c>
    </row>
    <row r="38" spans="1:28" s="264" customFormat="1" ht="51">
      <c r="A38" s="208" t="s">
        <v>14119</v>
      </c>
      <c r="B38" s="208" t="s">
        <v>1131</v>
      </c>
      <c r="C38" s="212" t="s">
        <v>13016</v>
      </c>
      <c r="D38" s="270"/>
      <c r="E38" s="208" t="str">
        <f ca="1">IF(ISERROR($V38),"",OFFSET('Smelter Look-up'!$D$4,$V38-4,0)&amp;"")</f>
        <v>INDONESIA</v>
      </c>
      <c r="F38" s="208" t="str">
        <f ca="1">IF(ISERROR($V38),"",OFFSET('Smelter Look-up'!$E$4,$V38-4,0))</f>
        <v>CID003205</v>
      </c>
      <c r="G38" s="208" t="str">
        <f ca="1">IF(C38=$X$4,IF(ISERROR($V38),"Enter smelter details","RMI"),IF(ISERROR($V38),"",OFFSET('Smelter Look-up'!$F$4,$V38-4,0)))</f>
        <v>RMI</v>
      </c>
      <c r="H38" s="209">
        <f ca="1">IF(ISERROR($V38),"",OFFSET('Smelter Look-up'!$G$4,$V38-4,0))</f>
        <v>0</v>
      </c>
      <c r="I38" s="210" t="str">
        <f ca="1">IF(ISERROR($V38),"",OFFSET('Smelter Look-up'!$H$4,$V38-4,0))</f>
        <v>Pangkalpinang</v>
      </c>
      <c r="J38" s="210" t="str">
        <f ca="1">IF(ISERROR($V38),"",OFFSET('Smelter Look-up'!$I$4,$V38-4,0))</f>
        <v>Kepulauan Bangka Belitung</v>
      </c>
      <c r="K38" s="260"/>
      <c r="L38" s="260"/>
      <c r="M38" s="260"/>
      <c r="N38" s="260"/>
      <c r="O38" s="260"/>
      <c r="P38" s="211"/>
      <c r="Q38" s="261"/>
      <c r="R38" s="208" t="str">
        <f ca="1">IF(ISERROR($V38),"",OFFSET('Smelter Look-up'!$C$4,$V38-4,0)&amp;"")</f>
        <v>PT Bangka Serumpun</v>
      </c>
      <c r="S38" s="215" t="str">
        <f t="shared" ref="S38:S68" ca="1" si="6">IF(B38="","",IF(ISERROR(MATCH($E38,CL,0)),"Unknown",INDIRECT("'C'!$A$"&amp;MATCH($E38,CL,0)+1)))</f>
        <v>ID</v>
      </c>
      <c r="T38" s="215" t="str">
        <f ca="1">IF(B38="","",IF(ISERROR(MATCH($J38,SorP!$B$1:$B$6230,0)),"",INDIRECT("'SorP'!$A$"&amp;MATCH($J38,SorP!$B$1:$B$6230,0))))</f>
        <v>ID-BB</v>
      </c>
      <c r="U38" s="231"/>
      <c r="V38" s="262">
        <f>IF(C38="",NA(),IF(OR(C38="Smelter not listed",C38="Smelter not yet identified"),MATCH($B38&amp;$D38,'Smelter Look-up'!$J:$J,0),MATCH($B38&amp;$C38,'Smelter Look-up'!$J:$J,0)))</f>
        <v>488</v>
      </c>
      <c r="W38" s="263"/>
      <c r="X38" s="263">
        <f t="shared" ref="X38:X68" ca="1" si="7">IF(AND(C38="Smelter not listed",OR(LEN(D38)=0,LEN(E38)=0)),1,0)</f>
        <v>0</v>
      </c>
      <c r="Y38" s="263"/>
      <c r="Z38" s="263"/>
      <c r="AB38" s="265" t="str">
        <f t="shared" ref="AB38:AB68" si="8">B38&amp;C38</f>
        <v>TinPT Bangka Serumpun</v>
      </c>
    </row>
    <row r="39" spans="1:28" s="264" customFormat="1" ht="25.5">
      <c r="A39" s="208" t="s">
        <v>766</v>
      </c>
      <c r="B39" s="208" t="s">
        <v>1131</v>
      </c>
      <c r="C39" s="212" t="s">
        <v>49</v>
      </c>
      <c r="D39" s="270"/>
      <c r="E39" s="208" t="str">
        <f ca="1">IF(ISERROR($V39),"",OFFSET('Smelter Look-up'!$D$4,$V39-4,0)&amp;"")</f>
        <v>UNITED STATES OF AMERICA</v>
      </c>
      <c r="F39" s="208" t="str">
        <f ca="1">IF(ISERROR($V39),"",OFFSET('Smelter Look-up'!$E$4,$V39-4,0))</f>
        <v>CID000292</v>
      </c>
      <c r="G39" s="208" t="str">
        <f ca="1">IF(C39=$X$4,IF(ISERROR($V39),"Enter smelter details","RMI"),IF(ISERROR($V39),"",OFFSET('Smelter Look-up'!$F$4,$V39-4,0)))</f>
        <v>RMI</v>
      </c>
      <c r="H39" s="209">
        <f ca="1">IF(ISERROR($V39),"",OFFSET('Smelter Look-up'!$G$4,$V39-4,0))</f>
        <v>0</v>
      </c>
      <c r="I39" s="210" t="str">
        <f ca="1">IF(ISERROR($V39),"",OFFSET('Smelter Look-up'!$H$4,$V39-4,0))</f>
        <v>Altoona</v>
      </c>
      <c r="J39" s="210" t="str">
        <f ca="1">IF(ISERROR($V39),"",OFFSET('Smelter Look-up'!$I$4,$V39-4,0))</f>
        <v>Pennsylvania</v>
      </c>
      <c r="K39" s="260"/>
      <c r="L39" s="260"/>
      <c r="M39" s="260"/>
      <c r="N39" s="260"/>
      <c r="O39" s="260"/>
      <c r="P39" s="211"/>
      <c r="Q39" s="261"/>
      <c r="R39" s="208" t="str">
        <f ca="1">IF(ISERROR($V39),"",OFFSET('Smelter Look-up'!$C$4,$V39-4,0)&amp;"")</f>
        <v>Alpha</v>
      </c>
      <c r="S39" s="215" t="str">
        <f t="shared" ca="1" si="6"/>
        <v>US</v>
      </c>
      <c r="T39" s="215" t="str">
        <f ca="1">IF(B39="","",IF(ISERROR(MATCH($J39,SorP!$B$1:$B$6230,0)),"",INDIRECT("'SorP'!$A$"&amp;MATCH($J39,SorP!$B$1:$B$6230,0))))</f>
        <v>US-PA</v>
      </c>
      <c r="U39" s="231"/>
      <c r="V39" s="262">
        <f>IF(C39="",NA(),IF(OR(C39="Smelter not listed",C39="Smelter not yet identified"),MATCH($B39&amp;$D39,'Smelter Look-up'!$J:$J,0),MATCH($B39&amp;$C39,'Smelter Look-up'!$J:$J,0)))</f>
        <v>390</v>
      </c>
      <c r="W39" s="263"/>
      <c r="X39" s="263">
        <f t="shared" ca="1" si="7"/>
        <v>0</v>
      </c>
      <c r="Y39" s="263"/>
      <c r="Z39" s="263"/>
      <c r="AB39" s="265" t="str">
        <f t="shared" si="8"/>
        <v>TinAlpha</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76" priority="49" stopIfTrue="1">
      <formula>IF(B586="",TRUE)</formula>
    </cfRule>
    <cfRule type="expression" dxfId="75" priority="60" stopIfTrue="1">
      <formula>IF(AND(COUNTIF(MetalSmelter,B586&amp;C586)=0,LEN(C586)&gt;0),TRUE,FALSE)</formula>
    </cfRule>
  </conditionalFormatting>
  <conditionalFormatting sqref="R586:R2505 E586:E2504">
    <cfRule type="expression" dxfId="74" priority="56" stopIfTrue="1">
      <formula>IF(AND(E586="",$C586=$X$4),TRUE)</formula>
    </cfRule>
    <cfRule type="expression" dxfId="73" priority="57" stopIfTrue="1">
      <formula>IF(FIND("!",E586),TRUE)</formula>
    </cfRule>
  </conditionalFormatting>
  <conditionalFormatting sqref="F586:F2504">
    <cfRule type="expression" dxfId="72" priority="47" stopIfTrue="1">
      <formula>IF(AND(LEN($A586)&gt;0,$A586&lt;&gt;$F586),TRUE,FALSE)</formula>
    </cfRule>
  </conditionalFormatting>
  <conditionalFormatting sqref="C586:C2504">
    <cfRule type="expression" dxfId="71" priority="46" stopIfTrue="1">
      <formula>IF(AND(B586&lt;&gt;"",C586=""),TRUE)</formula>
    </cfRule>
  </conditionalFormatting>
  <conditionalFormatting sqref="B40:B585">
    <cfRule type="expression" dxfId="70" priority="25" stopIfTrue="1">
      <formula>IF(B40="",TRUE)</formula>
    </cfRule>
    <cfRule type="expression" dxfId="69" priority="28" stopIfTrue="1">
      <formula>IF(AND(COUNTIF(MetalSmelter,B40&amp;C40)=0,LEN(C40)&gt;0),TRUE,FALSE)</formula>
    </cfRule>
  </conditionalFormatting>
  <conditionalFormatting sqref="G5:G2504">
    <cfRule type="expression" dxfId="68" priority="31" stopIfTrue="1">
      <formula>IF(FIND("Enter smelter details",G5),TRUE)</formula>
    </cfRule>
  </conditionalFormatting>
  <conditionalFormatting sqref="R5:R585 E21:E585 E5:E19">
    <cfRule type="expression" dxfId="67" priority="26" stopIfTrue="1">
      <formula>IF(AND(E5="",$C5=$X$4),TRUE)</formula>
    </cfRule>
    <cfRule type="expression" dxfId="66" priority="27" stopIfTrue="1">
      <formula>IF(FIND("!",E5),TRUE)</formula>
    </cfRule>
  </conditionalFormatting>
  <conditionalFormatting sqref="F5:F19 F21:F585">
    <cfRule type="expression" dxfId="65" priority="24" stopIfTrue="1">
      <formula>IF(AND(LEN($A5)&gt;0,$A5&lt;&gt;$F5),TRUE,FALSE)</formula>
    </cfRule>
  </conditionalFormatting>
  <conditionalFormatting sqref="C40:C585">
    <cfRule type="expression" dxfId="64" priority="23" stopIfTrue="1">
      <formula>IF(AND(B40&lt;&gt;"",C40=""),TRUE)</formula>
    </cfRule>
  </conditionalFormatting>
  <conditionalFormatting sqref="E20">
    <cfRule type="expression" dxfId="61" priority="16" stopIfTrue="1">
      <formula>IF(AND(E20="",$C20=$X$4),TRUE)</formula>
    </cfRule>
    <cfRule type="expression" dxfId="60" priority="17" stopIfTrue="1">
      <formula>IF(FIND("!",E20),TRUE)</formula>
    </cfRule>
  </conditionalFormatting>
  <conditionalFormatting sqref="F20">
    <cfRule type="expression" dxfId="59" priority="14" stopIfTrue="1">
      <formula>IF(AND(LEN($A20)&gt;0,$A20&lt;&gt;$F20),TRUE,FALSE)</formula>
    </cfRule>
  </conditionalFormatting>
  <conditionalFormatting sqref="D5:D2504">
    <cfRule type="expression" dxfId="57" priority="22" stopIfTrue="1">
      <formula>IF(AND(LEN($C5)&gt;0,AND($C5&lt;&gt;"Smelter Not Listed",ISBLANK($D5))),1,0)</formula>
    </cfRule>
    <cfRule type="expression" dxfId="56" priority="29" stopIfTrue="1">
      <formula>IF(AND(D5="",$C5=$X$4),TRUE)</formula>
    </cfRule>
    <cfRule type="expression" dxfId="55" priority="30" stopIfTrue="1">
      <formula>IF(FIND("!",D5),TRUE)</formula>
    </cfRule>
  </conditionalFormatting>
  <conditionalFormatting sqref="C21:C39">
    <cfRule type="expression" dxfId="27" priority="11" stopIfTrue="1">
      <formula>IF(AND(B21&lt;&gt;"",C21=""),TRUE)</formula>
    </cfRule>
  </conditionalFormatting>
  <conditionalFormatting sqref="C5:C19">
    <cfRule type="expression" dxfId="25" priority="10" stopIfTrue="1">
      <formula>IF(AND(B5&lt;&gt;"",C5=""),TRUE)</formula>
    </cfRule>
  </conditionalFormatting>
  <conditionalFormatting sqref="C20">
    <cfRule type="expression" dxfId="23" priority="9" stopIfTrue="1">
      <formula>IF(AND(B20&lt;&gt;"",C20=""),TRUE)</formula>
    </cfRule>
  </conditionalFormatting>
  <conditionalFormatting sqref="B21:B39">
    <cfRule type="expression" dxfId="15" priority="7" stopIfTrue="1">
      <formula>IF(B21="",TRUE)</formula>
    </cfRule>
    <cfRule type="expression" dxfId="14" priority="8" stopIfTrue="1">
      <formula>IF(AND(COUNTIF(MetalSmelter,B21&amp;C21)=0,LEN(C21)&gt;0),TRUE,FALSE)</formula>
    </cfRule>
  </conditionalFormatting>
  <conditionalFormatting sqref="B5:B19">
    <cfRule type="expression" dxfId="11" priority="5" stopIfTrue="1">
      <formula>IF(B5="",TRUE)</formula>
    </cfRule>
    <cfRule type="expression" dxfId="10" priority="6" stopIfTrue="1">
      <formula>IF(AND(COUNTIF(MetalSmelter,B5&amp;C5)=0,LEN(C5)&gt;0),TRUE,FALSE)</formula>
    </cfRule>
  </conditionalFormatting>
  <conditionalFormatting sqref="B20">
    <cfRule type="expression" dxfId="7" priority="3" stopIfTrue="1">
      <formula>IF(B20="",TRUE)</formula>
    </cfRule>
    <cfRule type="expression" dxfId="6" priority="4" stopIfTrue="1">
      <formula>IF(AND(COUNTIF(MetalSmelter,B20&amp;C20)=0,LEN(C20)&gt;0),TRUE,FALSE)</formula>
    </cfRule>
  </conditionalFormatting>
  <conditionalFormatting sqref="A5:A19 A21:A39">
    <cfRule type="expression" dxfId="3" priority="2" stopIfTrue="1">
      <formula>IF(AND(LEN($A5)&gt;0,$A5&lt;&gt;$F5),TRUE,FALSE)</formula>
    </cfRule>
  </conditionalFormatting>
  <conditionalFormatting sqref="A20">
    <cfRule type="expression" dxfId="1" priority="1" stopIfTrue="1">
      <formula>IF(AND(LEN($A20)&gt;0,$A20&lt;&gt;$F20),TRUE,FALSE)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tabSelected="1" zoomScalePageLayoutView="70" workbookViewId="0">
      <pane xSplit="1" ySplit="3" topLeftCell="B58"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4" t="str">
        <f ca="1">OFFSET(L!$C$1,MATCH("Checker"&amp;ADDRESS(ROW(),COLUMN(),4),L!$A:$A,0)-1,SL,,)</f>
        <v>Um sicherzustellen, dass alle erforderlichen Felder vor dem Versand an ihren Kunden ausgefüllt sind, alle rot markierten Felder beachten.</v>
      </c>
      <c r="B1" s="454"/>
      <c r="C1" s="454"/>
      <c r="D1" s="140" t="str">
        <f ca="1">OFFSET(L!$C$1,MATCH("Checker"&amp;ADDRESS(ROW(),COLUMN(),4),L!$A:$A,0)-1,SL,,)</f>
        <v>Erforderliche Felder bitte vervollständigen.</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Erforderliche Felder</v>
      </c>
      <c r="B3" s="76" t="str">
        <f ca="1">OFFSET(L!$C$1,MATCH("Checker"&amp;ADDRESS(ROW(),COLUMN(),4),L!$A:$A,0)-1,SL,,)</f>
        <v>Antwort ist vorhanden</v>
      </c>
      <c r="C3" s="76" t="str">
        <f ca="1">OFFSET(L!$C$1,MATCH("Checker"&amp;ADDRESS(ROW(),COLUMN(),4),L!$A:$A,0)-1,SL,,)</f>
        <v>Notizen</v>
      </c>
      <c r="D3" s="76" t="str">
        <f ca="1">OFFSET(L!$C$1,MATCH("Checker"&amp;ADDRESS(ROW(),COLUMN(),4),L!$A:$A,0)-1,SL,,)</f>
        <v>Hyperlink zum Ursprung</v>
      </c>
      <c r="F3" s="77" t="s">
        <v>527</v>
      </c>
      <c r="G3" s="22" t="s">
        <v>526</v>
      </c>
      <c r="H3" s="22" t="s">
        <v>528</v>
      </c>
      <c r="I3" s="169" t="s">
        <v>1317</v>
      </c>
      <c r="J3" s="22" t="s">
        <v>1318</v>
      </c>
    </row>
    <row r="4" spans="1:10" ht="39">
      <c r="A4" s="100" t="str">
        <f ca="1">Declaration!B8</f>
        <v>Firmenname (*):</v>
      </c>
      <c r="B4" s="99" t="str">
        <f>Declaration!D8</f>
        <v>Fernsteuergeräte Kurt Oelsch GmbH</v>
      </c>
      <c r="C4" s="99" t="str">
        <f t="shared" ref="C4" ca="1" si="0">IF(H4=1,J4,I4)</f>
        <v>Vollständig</v>
      </c>
      <c r="D4" s="105" t="str">
        <f>IF(H4=1,"Click here to enter Company Name","")</f>
        <v/>
      </c>
      <c r="E4" s="81" t="s">
        <v>1307</v>
      </c>
      <c r="F4" s="103">
        <v>1</v>
      </c>
      <c r="G4" s="78">
        <f t="shared" ref="G4" si="1">IF(B4=0,1,0)</f>
        <v>0</v>
      </c>
      <c r="H4" s="79">
        <f>F4*G4</f>
        <v>0</v>
      </c>
      <c r="I4" s="170" t="str">
        <f ca="1">OFFSET(L!$C$1,MATCH("Checker"&amp;"Comp",L!$A:$A,0)-1,SL,,)</f>
        <v>Vollständig</v>
      </c>
      <c r="J4" s="171" t="str">
        <f ca="1">OFFSET(L!$C$1,MATCH("Checker"&amp;ADDRESS(ROW(),COLUMN(),4),L!$A:$A,0)-1,SL,,)</f>
        <v>Geben Sie den Namen Ihres Unternehmens in der Reiterzelle D8 der Erklärung an</v>
      </c>
    </row>
    <row r="5" spans="1:10" ht="39">
      <c r="A5" s="100" t="str">
        <f ca="1">Declaration!B9</f>
        <v>Geltungsbereich der Erklärung (*):</v>
      </c>
      <c r="B5" s="99" t="str">
        <f>Declaration!D9</f>
        <v>A. Company</v>
      </c>
      <c r="C5" s="99" t="str">
        <f ca="1">IF(H5=1,J5,I5)</f>
        <v>Vollständig</v>
      </c>
      <c r="D5" s="105" t="str">
        <f>IF(H5=1,"Click here to enter Declaration Scope","")</f>
        <v/>
      </c>
      <c r="E5" s="81" t="s">
        <v>1307</v>
      </c>
      <c r="F5" s="103">
        <v>1</v>
      </c>
      <c r="G5" s="78">
        <f>IF(B5=0,1,0)</f>
        <v>0</v>
      </c>
      <c r="H5" s="79">
        <f t="shared" ref="H5" si="2">F5*G5</f>
        <v>0</v>
      </c>
      <c r="I5" s="170" t="str">
        <f ca="1">OFFSET(L!$C$1,MATCH("Checker"&amp;"Comp",L!$A:$A,0)-1,SL,,)</f>
        <v>Vollständig</v>
      </c>
      <c r="J5" s="171" t="str">
        <f ca="1">OFFSET(L!$C$1,MATCH("Checker"&amp;ADDRESS(ROW(),COLUMN(),4),L!$A:$A,0)-1,SL,,)</f>
        <v>Wählen Sie den Umfang der Erklärung in der Reiterzelle D9 der Erklärung aus</v>
      </c>
    </row>
    <row r="6" spans="1:10" ht="39">
      <c r="A6" s="100" t="str">
        <f ca="1">Declaration!B10</f>
        <v>Beschreibung des Geltungsbereichs</v>
      </c>
      <c r="B6" s="99" t="str">
        <f>Declaration!D10</f>
        <v>This CMRT is valid for Fernsteuergräte Kurt Oelsch GmbH</v>
      </c>
      <c r="C6" s="99" t="str">
        <f ca="1">IF(H6=1,J6,I6)</f>
        <v>Vollständig</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Vollständig</v>
      </c>
      <c r="J6" s="22" t="str">
        <f ca="1">OFFSET(L!$C$1,MATCH("Checker"&amp;ADDRESS(ROW(),COLUMN(),4),L!$A:$A,0)-1,SL,,)</f>
        <v>Geben Sie eine Beschreibung des Umfangs in der Reiterzelle D10 der Erklärung an</v>
      </c>
    </row>
    <row r="7" spans="1:10" ht="39">
      <c r="A7" s="100" t="str">
        <f ca="1">Declaration!B15</f>
        <v>Name des Ansprechpartners (*):</v>
      </c>
      <c r="B7" s="99" t="str">
        <f>Declaration!D15</f>
        <v>Olga Kozlova</v>
      </c>
      <c r="C7" s="99" t="str">
        <f ca="1">IF(H7=1,J7,I7)</f>
        <v>Vollständig</v>
      </c>
      <c r="D7" s="105" t="str">
        <f>IF(H7=1,"Click here to enter Contact Name","")</f>
        <v/>
      </c>
      <c r="E7" s="81" t="s">
        <v>1307</v>
      </c>
      <c r="F7" s="142">
        <v>1</v>
      </c>
      <c r="G7" s="78">
        <f>IF(B7=0,1,0)</f>
        <v>0</v>
      </c>
      <c r="H7" s="79">
        <f t="shared" si="3"/>
        <v>0</v>
      </c>
      <c r="I7" s="170" t="str">
        <f ca="1">OFFSET(L!$C$1,MATCH("Checker"&amp;"Comp",L!$A:$A,0)-1,SL,,)</f>
        <v>Vollständig</v>
      </c>
      <c r="J7" s="22" t="str">
        <f ca="1">OFFSET(L!$C$1,MATCH("Checker"&amp;ADDRESS(ROW(),COLUMN(),4),L!$A:$A,0)-1,SL,,)</f>
        <v>Geben Sie einen Kontaktnamen in der Reiterzelle D15 der Erklärung an</v>
      </c>
    </row>
    <row r="8" spans="1:10" ht="39">
      <c r="A8" s="100" t="str">
        <f ca="1">Declaration!B16</f>
        <v>E-Mail-Adresse des Ansprechpartners (*):</v>
      </c>
      <c r="B8" s="99" t="str">
        <f>Declaration!D16</f>
        <v>o.kozlova@fernsteuergeraete.de</v>
      </c>
      <c r="C8" s="99" t="str">
        <f ca="1">IF(H8=1,J8,I8)</f>
        <v>Vollständig</v>
      </c>
      <c r="D8" s="105" t="str">
        <f>IF(H8=1,"Click here to enter Email-Contact","")</f>
        <v/>
      </c>
      <c r="E8" s="81" t="s">
        <v>1307</v>
      </c>
      <c r="F8" s="142">
        <v>1</v>
      </c>
      <c r="G8" s="78">
        <f>IF(ISNUMBER(SEARCH("@",B8)),0,1)</f>
        <v>0</v>
      </c>
      <c r="H8" s="79">
        <f t="shared" si="3"/>
        <v>0</v>
      </c>
      <c r="I8" s="170" t="str">
        <f ca="1">OFFSET(L!$C$1,MATCH("Checker"&amp;"Comp",L!$A:$A,0)-1,SL,,)</f>
        <v>Vollständig</v>
      </c>
      <c r="J8" s="22" t="str">
        <f ca="1">OFFSET(L!$C$1,MATCH("Checker"&amp;ADDRESS(ROW(),COLUMN(),4),L!$A:$A,0)-1,SL,,)</f>
        <v>Geben Sie eine gültige Kontakt-E-Mail-Adresse in der Reiterzelle D16 der Erklärung an</v>
      </c>
    </row>
    <row r="9" spans="1:10" ht="39">
      <c r="A9" s="100" t="str">
        <f ca="1">Declaration!B17</f>
        <v>Telefonnummer des Ansprechpartners (*):</v>
      </c>
      <c r="B9" s="345" t="str">
        <f>Declaration!D17</f>
        <v>0049 30 6291 1</v>
      </c>
      <c r="C9" s="99" t="str">
        <f ca="1">IF(H9=1,J9,I9)</f>
        <v>Vollständig</v>
      </c>
      <c r="D9" s="105" t="str">
        <f>IF(H9=1,"Click here to enter Phone-Contact","")</f>
        <v/>
      </c>
      <c r="E9" s="81" t="s">
        <v>1307</v>
      </c>
      <c r="F9" s="142">
        <v>1</v>
      </c>
      <c r="G9" s="78">
        <f>IF(B9=0,1,0)</f>
        <v>0</v>
      </c>
      <c r="H9" s="79">
        <f t="shared" si="3"/>
        <v>0</v>
      </c>
      <c r="I9" s="170" t="str">
        <f ca="1">OFFSET(L!$C$1,MATCH("Checker"&amp;"Comp",L!$A:$A,0)-1,SL,,)</f>
        <v>Vollständig</v>
      </c>
      <c r="J9" s="22" t="str">
        <f ca="1">OFFSET(L!$C$1,MATCH("Checker"&amp;ADDRESS(ROW(),COLUMN(),4),L!$A:$A,0)-1,SL,,)</f>
        <v>Geben Sie eine Kontakttelefonnummer in der Reiterzelle D17 der Erklärung an</v>
      </c>
    </row>
    <row r="10" spans="1:10" ht="39">
      <c r="A10" s="100" t="str">
        <f ca="1">Declaration!B18</f>
        <v>Bevollmächtigter (*):</v>
      </c>
      <c r="B10" s="99" t="str">
        <f>Declaration!D18</f>
        <v>Management of Fernsteuergeräte Kurt Oelsch GmbH</v>
      </c>
      <c r="C10" s="99" t="str">
        <f t="shared" ref="C10" ca="1" si="4">IF(H10=1,J10,I10)</f>
        <v>Vollständig</v>
      </c>
      <c r="D10" s="105" t="str">
        <f>IF(H10=1,"Click here to enter an Authorized Company Representative's name","")</f>
        <v/>
      </c>
      <c r="E10" s="81" t="s">
        <v>1307</v>
      </c>
      <c r="F10" s="103">
        <v>1</v>
      </c>
      <c r="G10" s="78">
        <f t="shared" ref="G10" si="5">IF(B10=0,1,0)</f>
        <v>0</v>
      </c>
      <c r="H10" s="79">
        <f t="shared" si="3"/>
        <v>0</v>
      </c>
      <c r="I10" s="170"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0" t="str">
        <f ca="1">Declaration!B20</f>
        <v>E-Mail-Adresse des Bevollmächtigten (*):</v>
      </c>
      <c r="B11" s="99" t="str">
        <f>Declaration!D20</f>
        <v>info@fernsteuergeraete.de</v>
      </c>
      <c r="C11" s="99" t="str">
        <f ca="1">IF(H11=1,J11,I11)</f>
        <v>Vollständig</v>
      </c>
      <c r="D11" s="105" t="str">
        <f>IF(H11=1,"Click here to enter Representative's email","")</f>
        <v/>
      </c>
      <c r="E11" s="81" t="s">
        <v>1307</v>
      </c>
      <c r="F11" s="103">
        <v>1</v>
      </c>
      <c r="G11" s="78">
        <f>IF(ISNUMBER(SEARCH("@",B11)),0,1)</f>
        <v>0</v>
      </c>
      <c r="H11" s="79">
        <f t="shared" si="3"/>
        <v>0</v>
      </c>
      <c r="I11" s="170"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0" t="str">
        <f ca="1">Declaration!B22</f>
        <v>Datum (*):</v>
      </c>
      <c r="B12" s="101">
        <f>Declaration!D22</f>
        <v>44742</v>
      </c>
      <c r="C12" s="99" t="str">
        <f ca="1">IF(H12=1,J12,I12)</f>
        <v>Vollständig</v>
      </c>
      <c r="D12" s="105" t="str">
        <f>IF(H12=1,"Click here to enter Date of Completion","")</f>
        <v/>
      </c>
      <c r="E12" s="81" t="s">
        <v>1307</v>
      </c>
      <c r="F12" s="103">
        <v>1</v>
      </c>
      <c r="G12" s="78">
        <f>IF(B12=0,1,0)</f>
        <v>0</v>
      </c>
      <c r="H12" s="79">
        <f t="shared" si="3"/>
        <v>0</v>
      </c>
      <c r="I12" s="170" t="str">
        <f ca="1">OFFSET(L!$C$1,MATCH("Checker"&amp;"Comp",L!$A:$A,0)-1,SL,,)</f>
        <v>Vollständig</v>
      </c>
      <c r="J12" s="22" t="str">
        <f ca="1">OFFSET(L!$C$1,MATCH("Checker"&amp;ADDRESS(ROW(),COLUMN(),4),L!$A:$A,0)-1,SL,,)</f>
        <v>Geben Sie das Datum der Vervollständigung des Formulars in der Reiterzelle D22 der Erklärung an</v>
      </c>
    </row>
    <row r="13" spans="1:10" ht="63.75">
      <c r="A13" s="99" t="str">
        <f ca="1">Declaration!B25</f>
        <v>1) Wird absichtlich ein 3TG-Mineral im Herstellungsprozess verwendet oder in das/die Produkt(e) aufgenommen? (*)</v>
      </c>
      <c r="B13" s="102"/>
      <c r="C13" s="102"/>
      <c r="D13" s="106"/>
      <c r="E13" s="81" t="s">
        <v>810</v>
      </c>
      <c r="F13" s="103"/>
      <c r="G13" s="24"/>
      <c r="H13" s="80">
        <f t="shared" si="3"/>
        <v>0</v>
      </c>
    </row>
    <row r="14" spans="1:10" ht="26.25">
      <c r="A14" s="100" t="str">
        <f ca="1">Declaration!B26</f>
        <v xml:space="preserve">Tantal  </v>
      </c>
      <c r="B14" s="99" t="str">
        <f>Declaration!D26</f>
        <v>No</v>
      </c>
      <c r="C14" s="99" t="str">
        <f ca="1">IF(H14=1,J14,I14)</f>
        <v>Vollständig</v>
      </c>
      <c r="D14" s="105" t="str">
        <f>IF(H14=1,"Click here to answer question 1 for Tantalum","")</f>
        <v/>
      </c>
      <c r="E14" s="81" t="s">
        <v>806</v>
      </c>
      <c r="F14" s="103">
        <v>1</v>
      </c>
      <c r="G14" s="78">
        <f>IF(B14=0,1,0)</f>
        <v>0</v>
      </c>
      <c r="H14" s="79">
        <f t="shared" si="3"/>
        <v>0</v>
      </c>
      <c r="I14" s="170" t="str">
        <f ca="1">OFFSET(L!$C$1,MATCH("Checker"&amp;"Comp",L!$A:$A,0)-1,SL,,)</f>
        <v>Vollständig</v>
      </c>
      <c r="J14" s="171" t="str">
        <f ca="1">OFFSET(L!$C$1,MATCH("Checker"&amp;ADDRESS(ROW(),COLUMN(),4),L!$A:$A,0)-1,SL,,)</f>
        <v>Erklären Sie in der Reiterzelle D26 der Erklärung, ob Tantalum Ihren Produkten absichtlich hinzugefügt wird</v>
      </c>
    </row>
    <row r="15" spans="1:10" ht="39">
      <c r="A15" s="100" t="str">
        <f ca="1">Declaration!B27</f>
        <v>Zinn  (*)</v>
      </c>
      <c r="B15" s="99" t="str">
        <f>Declaration!D27</f>
        <v>Yes</v>
      </c>
      <c r="C15" s="99" t="str">
        <f ca="1">IF(H15=1,J15,I15)</f>
        <v>Vollständig</v>
      </c>
      <c r="D15" s="105" t="str">
        <f>IF(H15=1,"Click here to answer question 1 for Tin","")</f>
        <v/>
      </c>
      <c r="E15" s="81" t="s">
        <v>807</v>
      </c>
      <c r="F15" s="103">
        <v>1</v>
      </c>
      <c r="G15" s="78">
        <f>IF(B15=0,1,0)</f>
        <v>0</v>
      </c>
      <c r="H15" s="79">
        <f t="shared" si="3"/>
        <v>0</v>
      </c>
      <c r="I15" s="170" t="str">
        <f ca="1">OFFSET(L!$C$1,MATCH("Checker"&amp;"Comp",L!$A:$A,0)-1,SL,,)</f>
        <v>Vollständig</v>
      </c>
      <c r="J15" s="171" t="str">
        <f ca="1">OFFSET(L!$C$1,MATCH("Checker"&amp;ADDRESS(ROW(),COLUMN(),4),L!$A:$A,0)-1,SL,,)</f>
        <v>Erklären Sie in der Reiterzelle D27 der Erklärung, ob Zinn Ihren Produkten absichtlich hinzugefügt wird</v>
      </c>
    </row>
    <row r="16" spans="1:10" ht="39">
      <c r="A16" s="100" t="str">
        <f ca="1">Declaration!B28</f>
        <v>Gold  (*)</v>
      </c>
      <c r="B16" s="99" t="str">
        <f>Declaration!D28</f>
        <v>Yes</v>
      </c>
      <c r="C16" s="99" t="str">
        <f ca="1">IF(H16=1,J16,I16)</f>
        <v>Vollständig</v>
      </c>
      <c r="D16" s="105" t="str">
        <f>IF(H16=1,"Click here to answer question 1 for Gold","")</f>
        <v/>
      </c>
      <c r="E16" s="81" t="s">
        <v>807</v>
      </c>
      <c r="F16" s="103">
        <v>1</v>
      </c>
      <c r="G16" s="78">
        <f>IF(B16=0,1,0)</f>
        <v>0</v>
      </c>
      <c r="H16" s="79">
        <f t="shared" si="3"/>
        <v>0</v>
      </c>
      <c r="I16" s="170" t="str">
        <f ca="1">OFFSET(L!$C$1,MATCH("Checker"&amp;"Comp",L!$A:$A,0)-1,SL,,)</f>
        <v>Vollständig</v>
      </c>
      <c r="J16" s="171" t="str">
        <f ca="1">OFFSET(L!$C$1,MATCH("Checker"&amp;ADDRESS(ROW(),COLUMN(),4),L!$A:$A,0)-1,SL,,)</f>
        <v>Erklären Sie in der Reiterzelle D28 der Erklärung, ob Gold Ihren Produkten absichtlich hinzugefügt wird</v>
      </c>
    </row>
    <row r="17" spans="1:10" ht="39">
      <c r="A17" s="100" t="str">
        <f ca="1">Declaration!B29</f>
        <v xml:space="preserve">Wolfram  </v>
      </c>
      <c r="B17" s="99" t="str">
        <f>Declaration!D29</f>
        <v>No</v>
      </c>
      <c r="C17" s="99" t="str">
        <f ca="1">IF(H17=1,J17,I17)</f>
        <v>Vollständig</v>
      </c>
      <c r="D17" s="105" t="str">
        <f>IF(H17=1,"Click here to answer question 1 for Tungsten","")</f>
        <v/>
      </c>
      <c r="E17" s="81" t="s">
        <v>807</v>
      </c>
      <c r="F17" s="103">
        <v>1</v>
      </c>
      <c r="G17" s="78">
        <f>IF(B17=0,1,0)</f>
        <v>0</v>
      </c>
      <c r="H17" s="79">
        <f t="shared" si="3"/>
        <v>0</v>
      </c>
      <c r="I17" s="170" t="str">
        <f ca="1">OFFSET(L!$C$1,MATCH("Checker"&amp;"Comp",L!$A:$A,0)-1,SL,,)</f>
        <v>Vollständig</v>
      </c>
      <c r="J17" s="171" t="str">
        <f ca="1">OFFSET(L!$C$1,MATCH("Checker"&amp;ADDRESS(ROW(),COLUMN(),4),L!$A:$A,0)-1,SL,,)</f>
        <v>Erklären Sie in der Reiterzelle D29 der Erklärung, ob Tungsten Ihren Produkten absichtlich hinzugefügt wird</v>
      </c>
    </row>
    <row r="18" spans="1:10" ht="51">
      <c r="A18" s="99" t="str">
        <f ca="1">Declaration!B31</f>
        <v>2) Liegen in dem/den Produkt(en) 3TG-Rückstände vor?  (*)</v>
      </c>
      <c r="B18" s="102"/>
      <c r="C18" s="102"/>
      <c r="D18" s="106"/>
      <c r="E18" s="81" t="s">
        <v>808</v>
      </c>
      <c r="F18" s="103"/>
      <c r="G18" s="24"/>
      <c r="H18" s="24"/>
      <c r="J18" s="171"/>
    </row>
    <row r="19" spans="1:10" ht="39">
      <c r="A19" s="100" t="str">
        <f ca="1">Declaration!B32</f>
        <v xml:space="preserve">Tantal  </v>
      </c>
      <c r="B19" s="99">
        <f>IF($B$14="Yes",Declaration!D32,0)</f>
        <v>0</v>
      </c>
      <c r="C19" s="99" t="str">
        <f ca="1">IF(H19=1,J19,I19)</f>
        <v>Vollständig</v>
      </c>
      <c r="D19" s="107" t="str">
        <f>IF(H19=1,"Click here to answer question 2 for Tantalum","")</f>
        <v/>
      </c>
      <c r="E19" s="81" t="s">
        <v>807</v>
      </c>
      <c r="F19" s="104">
        <f>IF(B$14="No",0,1)</f>
        <v>0</v>
      </c>
      <c r="G19" s="78">
        <f>IF(B19=0,1,0)</f>
        <v>1</v>
      </c>
      <c r="H19" s="79">
        <f>F19*G19</f>
        <v>0</v>
      </c>
      <c r="I19" s="170" t="str">
        <f ca="1">OFFSET(L!$C$1,MATCH("Checker"&amp;"Comp",L!$A:$A,0)-1,SL,,)</f>
        <v>Vollständig</v>
      </c>
      <c r="J19" s="171" t="str">
        <f ca="1">OFFSET(L!$C$1,MATCH("Checker"&amp;ADDRESS(ROW(),COLUMN(),4),L!$A:$A,0)-1,SL,,)</f>
        <v>Erklären Sie in der Reiterzelle D32 der Erklärung, ob Tantalum für die Herstellung Ihrer Produkte erforderlich ist und ob es in den angegebenen Endprodukten enthalten ist</v>
      </c>
    </row>
    <row r="20" spans="1:10" ht="39">
      <c r="A20" s="100" t="str">
        <f ca="1">Declaration!B33</f>
        <v>Zinn  (*)</v>
      </c>
      <c r="B20" s="99" t="str">
        <f>IF($B$15="Yes",Declaration!D33,0)</f>
        <v>Yes</v>
      </c>
      <c r="C20" s="99" t="str">
        <f ca="1">IF(H20=1,J20,I20)</f>
        <v>Vollständig</v>
      </c>
      <c r="D20" s="107" t="str">
        <f>IF(H20=1,"Click here to answer question 2 for Tin","")</f>
        <v/>
      </c>
      <c r="E20" s="81" t="s">
        <v>807</v>
      </c>
      <c r="F20" s="104">
        <f>IF(B$15="No",0,1)</f>
        <v>1</v>
      </c>
      <c r="G20" s="78">
        <f>IF(B20=0,1,0)</f>
        <v>0</v>
      </c>
      <c r="H20" s="79">
        <f>F20*G20</f>
        <v>0</v>
      </c>
      <c r="I20" s="170" t="str">
        <f ca="1">OFFSET(L!$C$1,MATCH("Checker"&amp;"Comp",L!$A:$A,0)-1,SL,,)</f>
        <v>Vollständig</v>
      </c>
      <c r="J20" s="171" t="str">
        <f ca="1">OFFSET(L!$C$1,MATCH("Checker"&amp;ADDRESS(ROW(),COLUMN(),4),L!$A:$A,0)-1,SL,,)</f>
        <v>Erklären Sie in der Reiterzelle D33 der Erklärung, ob Zinn für die Herstellung Ihrer Produkte erforderlich ist und ob es in den angegebenen Endprodukten enthalten ist</v>
      </c>
    </row>
    <row r="21" spans="1:10" ht="39">
      <c r="A21" s="100" t="str">
        <f ca="1">Declaration!B34</f>
        <v>Gold  (*)</v>
      </c>
      <c r="B21" s="99" t="str">
        <f>IF($B$16="Yes",Declaration!D34,0)</f>
        <v>Yes</v>
      </c>
      <c r="C21" s="99" t="str">
        <f ca="1">IF(H21=1,J21,I21)</f>
        <v>Vollständig</v>
      </c>
      <c r="D21" s="107" t="str">
        <f>IF(H21=1,"Click here to answer question 2 for Gold","")</f>
        <v/>
      </c>
      <c r="E21" s="81" t="s">
        <v>807</v>
      </c>
      <c r="F21" s="104">
        <f>IF(B$16="No",0,1)</f>
        <v>1</v>
      </c>
      <c r="G21" s="78">
        <f>IF(B21=0,1,0)</f>
        <v>0</v>
      </c>
      <c r="H21" s="79">
        <f>F21*G21</f>
        <v>0</v>
      </c>
      <c r="I21" s="170" t="str">
        <f ca="1">OFFSET(L!$C$1,MATCH("Checker"&amp;"Comp",L!$A:$A,0)-1,SL,,)</f>
        <v>Vollständig</v>
      </c>
      <c r="J21" s="171" t="str">
        <f ca="1">OFFSET(L!$C$1,MATCH("Checker"&amp;ADDRESS(ROW(),COLUMN(),4),L!$A:$A,0)-1,SL,,)</f>
        <v>Erklären Sie in der Reiterzelle D34 der Erklärung, ob Gold für die Herstellung Ihrer Produkte erforderlich ist und ob es in den angegebenen Endprodukten enthalten ist</v>
      </c>
    </row>
    <row r="22" spans="1:10" ht="39">
      <c r="A22" s="100" t="str">
        <f ca="1">Declaration!B35</f>
        <v xml:space="preserve">Wolfram  </v>
      </c>
      <c r="B22" s="99">
        <f>IF($B$17="Yes",Declaration!D35,0)</f>
        <v>0</v>
      </c>
      <c r="C22" s="99" t="str">
        <f ca="1">IF(H22=1,J22,I22)</f>
        <v>Vollständig</v>
      </c>
      <c r="D22" s="107" t="str">
        <f>IF(H22=1,"Click here to answer question 2 for Tungsten","")</f>
        <v/>
      </c>
      <c r="E22" s="81" t="s">
        <v>807</v>
      </c>
      <c r="F22" s="104">
        <f>IF(B$17="No",0,1)</f>
        <v>0</v>
      </c>
      <c r="G22" s="78">
        <f>IF(B22=0,1,0)</f>
        <v>1</v>
      </c>
      <c r="H22" s="79">
        <f>F22*G22</f>
        <v>0</v>
      </c>
      <c r="I22" s="170" t="str">
        <f ca="1">OFFSET(L!$C$1,MATCH("Checker"&amp;"Comp",L!$A:$A,0)-1,SL,,)</f>
        <v>Vollständig</v>
      </c>
      <c r="J22" s="171"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99" t="str">
        <f ca="1">Declaration!B37</f>
        <v>3) Beschaffen Schmelzhütten in Ihrer Lieferkette das 3TG-Mineral aus den umfassten Ländern? (SEC-Begriff, siehe Definitions-Tab) (*)</v>
      </c>
      <c r="B23" s="102"/>
      <c r="C23" s="102"/>
      <c r="D23" s="106"/>
      <c r="E23" s="81" t="s">
        <v>807</v>
      </c>
      <c r="F23" s="103"/>
      <c r="G23" s="24"/>
      <c r="H23" s="24"/>
      <c r="J23" s="171"/>
    </row>
    <row r="24" spans="1:10" ht="39">
      <c r="A24" s="100" t="str">
        <f ca="1">Declaration!B38</f>
        <v xml:space="preserve">Tantal  </v>
      </c>
      <c r="B24" s="99">
        <f>IF(AND($B$14="Yes",$B$19="Yes"),Declaration!D38,0)</f>
        <v>0</v>
      </c>
      <c r="C24" s="99" t="str">
        <f ca="1">IF(H24=1,J24,I24)</f>
        <v>Vollständig</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Vollständig</v>
      </c>
      <c r="J24"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100" t="str">
        <f ca="1">Declaration!B39</f>
        <v>Zinn  (*)</v>
      </c>
      <c r="B25" s="99" t="str">
        <f>IF(AND($B$15="Yes",$B$20="Yes"),Declaration!D39,0)</f>
        <v>No</v>
      </c>
      <c r="C25" s="99" t="str">
        <f ca="1">IF(H25=1,J25,I25)</f>
        <v>Vollständig</v>
      </c>
      <c r="D25" s="107" t="str">
        <f>IF(H25=1,"Click here to answer question 3 for Tin","")</f>
        <v/>
      </c>
      <c r="E25" s="81" t="s">
        <v>807</v>
      </c>
      <c r="F25" s="104">
        <f>IF(OR(B15="No",B20="No"),0,1)</f>
        <v>1</v>
      </c>
      <c r="G25" s="78">
        <f>IF(B25=0,1,0)</f>
        <v>0</v>
      </c>
      <c r="H25" s="79">
        <f>F25*G25</f>
        <v>0</v>
      </c>
      <c r="I25" s="170" t="str">
        <f ca="1">OFFSET(L!$C$1,MATCH("Checker"&amp;"Comp",L!$A:$A,0)-1,SL,,)</f>
        <v>Vollständig</v>
      </c>
      <c r="J25"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100" t="str">
        <f ca="1">Declaration!B40</f>
        <v>Gold  (*)</v>
      </c>
      <c r="B26" s="99" t="str">
        <f>IF(AND($B$16="Yes",$B$21="Yes"),Declaration!D40,0)</f>
        <v>No</v>
      </c>
      <c r="C26" s="99" t="str">
        <f ca="1">IF(H26=1,J26,I26)</f>
        <v>Vollständig</v>
      </c>
      <c r="D26" s="107" t="str">
        <f>IF(H26=1,"Click here to answer question 3 for Gold","")</f>
        <v/>
      </c>
      <c r="E26" s="81" t="s">
        <v>807</v>
      </c>
      <c r="F26" s="104">
        <f>IF(OR(B16="No",B21="No"),0,1)</f>
        <v>1</v>
      </c>
      <c r="G26" s="78">
        <f>IF(B26=0,1,0)</f>
        <v>0</v>
      </c>
      <c r="H26" s="79">
        <f>F26*G26</f>
        <v>0</v>
      </c>
      <c r="I26" s="170" t="str">
        <f ca="1">OFFSET(L!$C$1,MATCH("Checker"&amp;"Comp",L!$A:$A,0)-1,SL,,)</f>
        <v>Vollständig</v>
      </c>
      <c r="J26"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100" t="str">
        <f ca="1">Declaration!B41</f>
        <v xml:space="preserve">Wolfram  </v>
      </c>
      <c r="B27" s="99">
        <f>IF(AND($B$17="Yes",$B$22="Yes"),Declaration!D41,0)</f>
        <v>0</v>
      </c>
      <c r="C27" s="99" t="str">
        <f ca="1">IF(H27=1,J27,I27)</f>
        <v>Vollständig</v>
      </c>
      <c r="D27" s="107" t="str">
        <f>IF(H27=1,"Click here to answer question 3 for Tungsten","")</f>
        <v/>
      </c>
      <c r="E27" s="81" t="s">
        <v>807</v>
      </c>
      <c r="F27" s="104">
        <f>IF(OR(B17="No",B22="No"),0,1)</f>
        <v>0</v>
      </c>
      <c r="G27" s="78">
        <f>IF(B27=0,1,0)</f>
        <v>1</v>
      </c>
      <c r="H27" s="79">
        <f>F27*G27</f>
        <v>0</v>
      </c>
      <c r="I27" s="170" t="str">
        <f ca="1">OFFSET(L!$C$1,MATCH("Checker"&amp;"Comp",L!$A:$A,0)-1,SL,,)</f>
        <v>Vollständig</v>
      </c>
      <c r="J27"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99" t="str">
        <f ca="1">Declaration!B43</f>
        <v>4) Beziehen Schmelzhütten in Ihrer Lieferkette ihre 3TG aus von Konflikten betroffenen und risikoreichen Gebieten? (*)</v>
      </c>
      <c r="B28" s="99"/>
      <c r="C28" s="99"/>
      <c r="D28" s="107"/>
      <c r="E28" s="81"/>
      <c r="F28" s="81"/>
      <c r="G28" s="81"/>
      <c r="H28" s="24"/>
      <c r="I28" s="170"/>
    </row>
    <row r="29" spans="1:10" ht="41.1" customHeight="1">
      <c r="A29" s="100" t="str">
        <f ca="1">Declaration!B44</f>
        <v xml:space="preserve">Tantal  </v>
      </c>
      <c r="B29" s="99">
        <f>IF(AND($B$14="Yes",$B$19="Yes"),Declaration!D44,0)</f>
        <v>0</v>
      </c>
      <c r="C29" s="99" t="str">
        <f ca="1">IF(H29=1,J29,I29)</f>
        <v>Vollständig</v>
      </c>
      <c r="D29" s="314" t="str">
        <f>IF(H29=1,"Click here to answer question 4 for Tantalum","")</f>
        <v/>
      </c>
      <c r="E29" s="81"/>
      <c r="F29" s="104">
        <f>F24</f>
        <v>0</v>
      </c>
      <c r="G29" s="78">
        <f t="shared" ref="G29" si="8">IF(B29=0,1,0)</f>
        <v>1</v>
      </c>
      <c r="H29" s="79">
        <f t="shared" ref="H29" si="9">F29*G29</f>
        <v>0</v>
      </c>
      <c r="I29" s="170" t="str">
        <f ca="1">OFFSET(L!$C$1,MATCH("Checker"&amp;"Comp",L!$A:$A,0)-1,SL,,)</f>
        <v>Vollständig</v>
      </c>
      <c r="J29" s="22"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100" t="str">
        <f ca="1">Declaration!B45</f>
        <v>Zinn  (*)</v>
      </c>
      <c r="B30" s="99" t="str">
        <f>IF(AND($B$15="Yes",$B$20="Yes"),Declaration!D45,0)</f>
        <v>Unknown</v>
      </c>
      <c r="C30" s="99" t="str">
        <f ca="1">IF(H30=1,J30,I30)</f>
        <v>Vollständig</v>
      </c>
      <c r="D30" s="314" t="str">
        <f>IF(H30=1,"Click here to answer question 4 for Tin","")</f>
        <v/>
      </c>
      <c r="E30" s="81"/>
      <c r="F30" s="104">
        <f>F25</f>
        <v>1</v>
      </c>
      <c r="G30" s="78">
        <f>IF(B30=0,1,0)</f>
        <v>0</v>
      </c>
      <c r="H30" s="79">
        <f>F30*G30</f>
        <v>0</v>
      </c>
      <c r="I30" s="170" t="str">
        <f ca="1">OFFSET(L!$C$1,MATCH("Checker"&amp;"Comp",L!$A:$A,0)-1,SL,,)</f>
        <v>Vollständig</v>
      </c>
      <c r="J30" s="22"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100" t="str">
        <f ca="1">Declaration!B46</f>
        <v>Gold  (*)</v>
      </c>
      <c r="B31" s="99" t="str">
        <f>IF(AND($B$16="Yes",$B$21="Yes"),Declaration!D46,0)</f>
        <v>Unknown</v>
      </c>
      <c r="C31" s="99" t="str">
        <f ca="1">IF(H31=1,J31,I31)</f>
        <v>Vollständig</v>
      </c>
      <c r="D31" s="314" t="str">
        <f>IF(H31=1,"Click here to answer question 4 for Gold","")</f>
        <v/>
      </c>
      <c r="E31" s="81"/>
      <c r="F31" s="104">
        <f>F26</f>
        <v>1</v>
      </c>
      <c r="G31" s="78">
        <f>IF(B31=0,1,0)</f>
        <v>0</v>
      </c>
      <c r="H31" s="79">
        <f>F31*G31</f>
        <v>0</v>
      </c>
      <c r="I31" s="170" t="str">
        <f ca="1">OFFSET(L!$C$1,MATCH("Checker"&amp;"Comp",L!$A:$A,0)-1,SL,,)</f>
        <v>Vollständig</v>
      </c>
      <c r="J31" s="22"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100" t="str">
        <f ca="1">Declaration!B47</f>
        <v xml:space="preserve">Wolfram  </v>
      </c>
      <c r="B32" s="99">
        <f>IF(AND($B$17="Yes",$B$22="Yes"),Declaration!D47,0)</f>
        <v>0</v>
      </c>
      <c r="C32" s="99" t="str">
        <f ca="1">IF(H32=1,J32,I32)</f>
        <v>Vollständig</v>
      </c>
      <c r="D32" s="314" t="str">
        <f>IF(H32=1,"Click here to answer question 4 for Tungsten","")</f>
        <v/>
      </c>
      <c r="E32" s="81"/>
      <c r="F32" s="104">
        <f>F27</f>
        <v>0</v>
      </c>
      <c r="G32" s="78">
        <f>IF(B32=0,1,0)</f>
        <v>1</v>
      </c>
      <c r="H32" s="79">
        <f>F32*G32</f>
        <v>0</v>
      </c>
      <c r="I32" s="170" t="str">
        <f ca="1">OFFSET(L!$C$1,MATCH("Checker"&amp;"Comp",L!$A:$A,0)-1,SL,,)</f>
        <v>Vollständig</v>
      </c>
      <c r="J32" s="22"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99" t="str">
        <f ca="1">Declaration!B49</f>
        <v>5) Stammt das für die Funktionalität oder  Herstellung Ihrer Produkte benötigte 3TG-Mineral zu 100 % aus Recycling- oder Schrottquellen?  (*)</v>
      </c>
      <c r="B33" s="102"/>
      <c r="C33" s="102"/>
      <c r="D33" s="106"/>
      <c r="E33" s="81" t="s">
        <v>1307</v>
      </c>
      <c r="F33" s="103"/>
      <c r="G33" s="24"/>
      <c r="H33" s="24"/>
      <c r="J33" s="171"/>
    </row>
    <row r="34" spans="1:10" ht="39">
      <c r="A34" s="100" t="str">
        <f ca="1">Declaration!B50</f>
        <v xml:space="preserve">Tantal  </v>
      </c>
      <c r="B34" s="99">
        <f>IF(AND($B$14="Yes",$B$19="Yes"),Declaration!D50,0)</f>
        <v>0</v>
      </c>
      <c r="C34" s="99" t="str">
        <f ca="1">IF(H34=1,J34,I34)</f>
        <v>Vollständig</v>
      </c>
      <c r="D34" s="314" t="str">
        <f>IF(H34=1,"Click here to answer question 5 for Tantalum","")</f>
        <v/>
      </c>
      <c r="E34" s="81" t="s">
        <v>1307</v>
      </c>
      <c r="F34" s="104">
        <f>F24</f>
        <v>0</v>
      </c>
      <c r="G34" s="78">
        <f>IF(B34=0,1,0)</f>
        <v>1</v>
      </c>
      <c r="H34" s="79">
        <f>F34*G34</f>
        <v>0</v>
      </c>
      <c r="I34" s="170" t="str">
        <f ca="1">OFFSET(L!$C$1,MATCH("Checker"&amp;"Comp",L!$A:$A,0)-1,SL,,)</f>
        <v>Vollständig</v>
      </c>
      <c r="J34" s="171" t="str">
        <f ca="1">OFFSET(L!$C$1,MATCH("Checker"&amp;ADDRESS(ROW(),COLUMN(),4),L!$A:$A,0)-1,SL,,)</f>
        <v>Erklären Sie in der Reiterzelle D44 der Erklärung, ob innerhalb des Umfangs der in dieser Umfrage angegebenen Produkte verwendetes Tantalum vollständig aus Recycling oder Schrott stammt</v>
      </c>
    </row>
    <row r="35" spans="1:10" ht="51">
      <c r="A35" s="100" t="str">
        <f ca="1">Declaration!B51</f>
        <v>Zinn  (*)</v>
      </c>
      <c r="B35" s="99" t="str">
        <f>IF(AND($B$15="Yes",$B$20="Yes"),Declaration!D51,0)</f>
        <v>Unknown</v>
      </c>
      <c r="C35" s="99" t="str">
        <f ca="1">IF(H35=1,J35,I35)</f>
        <v>Vollständig</v>
      </c>
      <c r="D35" s="314" t="str">
        <f>IF(H35=1,"Click here to answer question 5 for Tin","")</f>
        <v/>
      </c>
      <c r="E35" s="81" t="s">
        <v>1307</v>
      </c>
      <c r="F35" s="104">
        <f>F25</f>
        <v>1</v>
      </c>
      <c r="G35" s="78">
        <f>IF(B35=0,1,0)</f>
        <v>0</v>
      </c>
      <c r="H35" s="79">
        <f>F35*G35</f>
        <v>0</v>
      </c>
      <c r="I35" s="170" t="str">
        <f ca="1">OFFSET(L!$C$1,MATCH("Checker"&amp;"Comp",L!$A:$A,0)-1,SL,,)</f>
        <v>Vollständig</v>
      </c>
      <c r="J35" s="171" t="str">
        <f ca="1">OFFSET(L!$C$1,MATCH("Checker"&amp;ADDRESS(ROW(),COLUMN(),4),L!$A:$A,0)-1,SL,,)</f>
        <v>Erklären Sie in der Reiterzelle D45 der Erklärung, ob innerhalb des Umfangs der in dieser Umfrage angegebenen Produkte verwendetes Zinn vollständig aus Recycling oder Schrott stammt</v>
      </c>
    </row>
    <row r="36" spans="1:10" ht="51">
      <c r="A36" s="100" t="str">
        <f ca="1">Declaration!B52</f>
        <v>Gold  (*)</v>
      </c>
      <c r="B36" s="99" t="str">
        <f>IF(AND($B$16="Yes",$B$21="Yes"),Declaration!D52,0)</f>
        <v>Unknown</v>
      </c>
      <c r="C36" s="99" t="str">
        <f ca="1">IF(H36=1,J36,I36)</f>
        <v>Vollständig</v>
      </c>
      <c r="D36" s="314" t="str">
        <f>IF(H36=1,"Click here to answer question 5 for Gold","")</f>
        <v/>
      </c>
      <c r="E36" s="81" t="s">
        <v>1307</v>
      </c>
      <c r="F36" s="104">
        <f>F26</f>
        <v>1</v>
      </c>
      <c r="G36" s="78">
        <f>IF(B36=0,1,0)</f>
        <v>0</v>
      </c>
      <c r="H36" s="79">
        <f>F36*G36</f>
        <v>0</v>
      </c>
      <c r="I36" s="170" t="str">
        <f ca="1">OFFSET(L!$C$1,MATCH("Checker"&amp;"Comp",L!$A:$A,0)-1,SL,,)</f>
        <v>Vollständig</v>
      </c>
      <c r="J36" s="171"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100" t="str">
        <f ca="1">Declaration!B53</f>
        <v xml:space="preserve">Wolfram  </v>
      </c>
      <c r="B37" s="99">
        <f>IF(AND($B$17="Yes",$B$22="Yes"),Declaration!D53,0)</f>
        <v>0</v>
      </c>
      <c r="C37" s="99" t="str">
        <f ca="1">IF(H37=1,J37,I37)</f>
        <v>Vollständig</v>
      </c>
      <c r="D37" s="314" t="str">
        <f>IF(H37=1,"Click here to answer question 5 for Tungsten","")</f>
        <v/>
      </c>
      <c r="E37" s="81" t="s">
        <v>1307</v>
      </c>
      <c r="F37" s="104">
        <f>F27</f>
        <v>0</v>
      </c>
      <c r="G37" s="78">
        <f>IF(B37=0,1,0)</f>
        <v>1</v>
      </c>
      <c r="H37" s="79">
        <f>F37*G37</f>
        <v>0</v>
      </c>
      <c r="I37" s="170" t="str">
        <f ca="1">OFFSET(L!$C$1,MATCH("Checker"&amp;"Comp",L!$A:$A,0)-1,SL,,)</f>
        <v>Vollständig</v>
      </c>
      <c r="J37" s="171"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99" t="str">
        <f ca="1">Declaration!B55</f>
        <v>6) Wie hoch ist der Prozentsatz an Lieferanten, die auf Ihre Lieferkettenumfrage geantwortet haben? (*)</v>
      </c>
      <c r="B38" s="102"/>
      <c r="C38" s="102"/>
      <c r="D38" s="106"/>
      <c r="E38" s="81" t="s">
        <v>807</v>
      </c>
      <c r="F38" s="103"/>
      <c r="G38" s="24"/>
      <c r="H38" s="24"/>
    </row>
    <row r="39" spans="1:10" ht="26.25">
      <c r="A39" s="100" t="str">
        <f ca="1">Declaration!B56</f>
        <v xml:space="preserve">Tantal  </v>
      </c>
      <c r="B39" s="332">
        <f>IF(AND($B$14="Yes",$B$19="Yes"),Declaration!D56,0)</f>
        <v>0</v>
      </c>
      <c r="C39" s="99" t="str">
        <f ca="1">IF(H39=1,J39,I39)</f>
        <v>Vollständig</v>
      </c>
      <c r="D39" s="315" t="str">
        <f>IF(H39=1,"Click here to answer question 6 for Tantalum","")</f>
        <v/>
      </c>
      <c r="E39" s="81" t="s">
        <v>806</v>
      </c>
      <c r="F39" s="104">
        <f>F24</f>
        <v>0</v>
      </c>
      <c r="G39" s="78">
        <f>IF(B39=0,1,0)</f>
        <v>1</v>
      </c>
      <c r="H39" s="79">
        <f>F39*G39</f>
        <v>0</v>
      </c>
      <c r="I39" s="170" t="str">
        <f ca="1">OFFSET(L!$C$1,MATCH("Checker"&amp;"Comp",L!$A:$A,0)-1,SL,,)</f>
        <v>Vollständig</v>
      </c>
      <c r="J39" s="22" t="str">
        <f ca="1">OFFSET(L!$C$1,MATCH("Checker"&amp;ADDRESS(ROW(),COLUMN(),4),L!$A:$A,0)-1,SL,,)</f>
        <v>Geben Sie den Vollständigkeitsgrad der Schmelzhütteninformationen des Anbieters in Prozent in der Reiterzelle D50 der Erklärung an</v>
      </c>
    </row>
    <row r="40" spans="1:10" ht="38.25">
      <c r="A40" s="100" t="str">
        <f ca="1">Declaration!B57</f>
        <v>Zinn  (*)</v>
      </c>
      <c r="B40" s="332" t="str">
        <f>IF(AND($B$15="Yes",$B$20="Yes"),Declaration!D57,0)</f>
        <v>Greater than 90%</v>
      </c>
      <c r="C40" s="99" t="str">
        <f ca="1">IF(H40=1,J40,I40)</f>
        <v>Vollständig</v>
      </c>
      <c r="D40" s="315" t="str">
        <f>IF(H40=1,"Click here to answer question 6 for Tin","")</f>
        <v/>
      </c>
      <c r="E40" s="81" t="s">
        <v>806</v>
      </c>
      <c r="F40" s="104">
        <f>F25</f>
        <v>1</v>
      </c>
      <c r="G40" s="78">
        <f>IF(B40=0,1,0)</f>
        <v>0</v>
      </c>
      <c r="H40" s="79">
        <f>F40*G40</f>
        <v>0</v>
      </c>
      <c r="I40" s="170" t="str">
        <f ca="1">OFFSET(L!$C$1,MATCH("Checker"&amp;"Comp",L!$A:$A,0)-1,SL,,)</f>
        <v>Vollständig</v>
      </c>
      <c r="J40" s="22" t="str">
        <f ca="1">OFFSET(L!$C$1,MATCH("Checker"&amp;ADDRESS(ROW(),COLUMN(),4),L!$A:$A,0)-1,SL,,)</f>
        <v>Geben Sie den Vollständigkeitsgrad der Schmelzhütteninformationen des Anbieters in Prozent in der Reiterzelle D51 der Erklärung an</v>
      </c>
    </row>
    <row r="41" spans="1:10" ht="38.25">
      <c r="A41" s="100" t="str">
        <f ca="1">Declaration!B58</f>
        <v>Gold  (*)</v>
      </c>
      <c r="B41" s="332" t="str">
        <f>IF(AND($B$16="Yes",$B$21="Yes"),Declaration!D58,0)</f>
        <v>Greater than 90%</v>
      </c>
      <c r="C41" s="99" t="str">
        <f ca="1">IF(H41=1,J41,I41)</f>
        <v>Vollständig</v>
      </c>
      <c r="D41" s="315" t="str">
        <f>IF(H41=1,"Click here to answer question 6 for Gold","")</f>
        <v/>
      </c>
      <c r="E41" s="81" t="s">
        <v>806</v>
      </c>
      <c r="F41" s="104">
        <f>F26</f>
        <v>1</v>
      </c>
      <c r="G41" s="78">
        <f>IF(B41=0,1,0)</f>
        <v>0</v>
      </c>
      <c r="H41" s="79">
        <f>F41*G41</f>
        <v>0</v>
      </c>
      <c r="I41" s="170" t="str">
        <f ca="1">OFFSET(L!$C$1,MATCH("Checker"&amp;"Comp",L!$A:$A,0)-1,SL,,)</f>
        <v>Vollständig</v>
      </c>
      <c r="J41" s="22" t="str">
        <f ca="1">OFFSET(L!$C$1,MATCH("Checker"&amp;ADDRESS(ROW(),COLUMN(),4),L!$A:$A,0)-1,SL,,)</f>
        <v>Geben Sie den Vollständigkeitsgrad der Schmelzhütteninformationen des Anbieters in Prozent in der Reiterzelle D52 der Erklärung an</v>
      </c>
    </row>
    <row r="42" spans="1:10" ht="26.25">
      <c r="A42" s="100" t="str">
        <f ca="1">Declaration!B59</f>
        <v xml:space="preserve">Wolfram  </v>
      </c>
      <c r="B42" s="332">
        <f>IF(AND($B$17="Yes",$B$22="Yes"),Declaration!D59,0)</f>
        <v>0</v>
      </c>
      <c r="C42" s="99" t="str">
        <f ca="1">IF(H42=1,J42,I42)</f>
        <v>Vollständig</v>
      </c>
      <c r="D42" s="315" t="str">
        <f>IF(H42=1,"Click here to answer question 6 for Tungsten","")</f>
        <v/>
      </c>
      <c r="E42" s="81" t="s">
        <v>806</v>
      </c>
      <c r="F42" s="104">
        <f>F27</f>
        <v>0</v>
      </c>
      <c r="G42" s="78">
        <f>IF(B42=0,1,0)</f>
        <v>1</v>
      </c>
      <c r="H42" s="79">
        <f>F42*G42</f>
        <v>0</v>
      </c>
      <c r="I42" s="170" t="str">
        <f ca="1">OFFSET(L!$C$1,MATCH("Checker"&amp;"Comp",L!$A:$A,0)-1,SL,,)</f>
        <v>Vollständig</v>
      </c>
      <c r="J42" s="22" t="str">
        <f ca="1">OFFSET(L!$C$1,MATCH("Checker"&amp;ADDRESS(ROW(),COLUMN(),4),L!$A:$A,0)-1,SL,,)</f>
        <v>Geben Sie den Vollständigkeitsgrad der Schmelzhütteninformationen des Anbieters in Prozent in der Reiterzelle D53 der Erklärung an</v>
      </c>
    </row>
    <row r="43" spans="1:10" ht="51">
      <c r="A43" s="99" t="str">
        <f ca="1">Declaration!B61</f>
        <v>7) Haben Sie alle Schmelzhütten ermittelt, die das 3TG-Mineral für Ihre Lieferkette bereitstellen?  (*)</v>
      </c>
      <c r="B43" s="102"/>
      <c r="C43" s="102"/>
      <c r="D43" s="106"/>
      <c r="E43" s="81" t="s">
        <v>808</v>
      </c>
      <c r="F43" s="103"/>
      <c r="G43" s="24"/>
      <c r="H43" s="24"/>
    </row>
    <row r="44" spans="1:10" ht="51.75">
      <c r="A44" s="100" t="str">
        <f ca="1">Declaration!B62</f>
        <v xml:space="preserve">Tantal  </v>
      </c>
      <c r="B44" s="99">
        <f>IF(AND($B$14="Yes",$B$19="Yes"),Declaration!D62,0)</f>
        <v>0</v>
      </c>
      <c r="C44" s="99" t="str">
        <f ca="1">IF(H44=1,J44,I44)</f>
        <v>Vollständig</v>
      </c>
      <c r="D44" s="314" t="str">
        <f>IF(H44=1,"Click here to answer question 7 for Tantalum","")</f>
        <v/>
      </c>
      <c r="E44" s="81" t="s">
        <v>1303</v>
      </c>
      <c r="F44" s="104">
        <f>F24</f>
        <v>0</v>
      </c>
      <c r="G44" s="78">
        <f>IF(B44=0,1,0)</f>
        <v>1</v>
      </c>
      <c r="H44" s="79">
        <f>F44*G44</f>
        <v>0</v>
      </c>
      <c r="I44" s="170" t="str">
        <f ca="1">OFFSET(L!$C$1,MATCH("Checker"&amp;"Comp",L!$A:$A,0)-1,SL,,)</f>
        <v>Vollständig</v>
      </c>
      <c r="J44" s="22"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100" t="str">
        <f ca="1">Declaration!B63</f>
        <v>Zinn  (*)</v>
      </c>
      <c r="B45" s="99" t="str">
        <f>IF(AND($B$15="Yes",$B$20="Yes"),Declaration!D63,0)</f>
        <v>Yes</v>
      </c>
      <c r="C45" s="99" t="str">
        <f ca="1">IF(H45=1,J45,I45)</f>
        <v>Vollständig</v>
      </c>
      <c r="D45" s="314" t="str">
        <f>IF(H45=1,"Click here to answer question 7 for Tin","")</f>
        <v/>
      </c>
      <c r="E45" s="81" t="s">
        <v>1303</v>
      </c>
      <c r="F45" s="104">
        <f>F25</f>
        <v>1</v>
      </c>
      <c r="G45" s="78">
        <f>IF(B45=0,1,0)</f>
        <v>0</v>
      </c>
      <c r="H45" s="79">
        <f>F45*G45</f>
        <v>0</v>
      </c>
      <c r="I45" s="170" t="str">
        <f ca="1">OFFSET(L!$C$1,MATCH("Checker"&amp;"Comp",L!$A:$A,0)-1,SL,,)</f>
        <v>Vollständig</v>
      </c>
      <c r="J45" s="22"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100" t="str">
        <f ca="1">Declaration!B64</f>
        <v>Gold  (*)</v>
      </c>
      <c r="B46" s="99" t="str">
        <f>IF(AND($B$16="Yes",$B$21="Yes"),Declaration!D64,0)</f>
        <v>Yes</v>
      </c>
      <c r="C46" s="99" t="str">
        <f ca="1">IF(H46=1,J46,I46)</f>
        <v>Vollständig</v>
      </c>
      <c r="D46" s="314" t="str">
        <f>IF(H46=1,"Click here to answer question 7 for Gold","")</f>
        <v/>
      </c>
      <c r="E46" s="81" t="s">
        <v>1303</v>
      </c>
      <c r="F46" s="104">
        <f>F26</f>
        <v>1</v>
      </c>
      <c r="G46" s="78">
        <f>IF(B46=0,1,0)</f>
        <v>0</v>
      </c>
      <c r="H46" s="79">
        <f>F46*G46</f>
        <v>0</v>
      </c>
      <c r="I46" s="170" t="str">
        <f ca="1">OFFSET(L!$C$1,MATCH("Checker"&amp;"Comp",L!$A:$A,0)-1,SL,,)</f>
        <v>Vollständig</v>
      </c>
      <c r="J46" s="22"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100" t="str">
        <f ca="1">Declaration!B65</f>
        <v xml:space="preserve">Wolfram  </v>
      </c>
      <c r="B47" s="99">
        <f>IF(AND($B$17="Yes",$B$22="Yes"),Declaration!D65,0)</f>
        <v>0</v>
      </c>
      <c r="C47" s="99" t="str">
        <f ca="1">IF(H47=1,J47,I47)</f>
        <v>Vollständig</v>
      </c>
      <c r="D47" s="314" t="str">
        <f>IF(H47=1,"Click here to answer question 7 for Tungsten","")</f>
        <v/>
      </c>
      <c r="E47" s="81" t="s">
        <v>1303</v>
      </c>
      <c r="F47" s="104">
        <f>F27</f>
        <v>0</v>
      </c>
      <c r="G47" s="78">
        <f>IF(B47=0,1,0)</f>
        <v>1</v>
      </c>
      <c r="H47" s="79">
        <f>F47*G47</f>
        <v>0</v>
      </c>
      <c r="I47" s="170" t="str">
        <f ca="1">OFFSET(L!$C$1,MATCH("Checker"&amp;"Comp",L!$A:$A,0)-1,SL,,)</f>
        <v>Vollständig</v>
      </c>
      <c r="J47" s="22"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99" t="str">
        <f ca="1">Declaration!B67</f>
        <v>8) Haben Sie alle relevanten Informationen, die Ihr Unternehmen zu den Schmelzhütten erhalten hat, in dieser Erklärung aufgeführt?  (*)</v>
      </c>
      <c r="B48" s="102"/>
      <c r="C48" s="102"/>
      <c r="D48" s="106"/>
      <c r="E48" s="81" t="s">
        <v>809</v>
      </c>
      <c r="F48" s="103"/>
      <c r="G48" s="24"/>
      <c r="H48" s="24"/>
    </row>
    <row r="49" spans="1:10" ht="39">
      <c r="A49" s="100" t="str">
        <f ca="1">Declaration!B68</f>
        <v xml:space="preserve">Tantal  </v>
      </c>
      <c r="B49" s="99">
        <f>IF(AND($B$14="Yes",$B$19="Yes"),Declaration!D68,0)</f>
        <v>0</v>
      </c>
      <c r="C49" s="99" t="str">
        <f ca="1">IF(H49=1,J49,I49)</f>
        <v>Vollständig</v>
      </c>
      <c r="D49" s="315" t="str">
        <f>IF(H49=1,"Click here to answer question 8 for Tantalum","")</f>
        <v/>
      </c>
      <c r="E49" s="81" t="s">
        <v>807</v>
      </c>
      <c r="F49" s="104">
        <f>F24</f>
        <v>0</v>
      </c>
      <c r="G49" s="78">
        <f>IF(B49=0,1,0)</f>
        <v>1</v>
      </c>
      <c r="H49" s="79">
        <f>F49*G49</f>
        <v>0</v>
      </c>
      <c r="I49" s="170" t="str">
        <f ca="1">OFFSET(L!$C$1,MATCH("Checker"&amp;"Comp",L!$A:$A,0)-1,SL,,)</f>
        <v>Vollständig</v>
      </c>
      <c r="J49" s="22" t="str">
        <f ca="1">OFFSET(L!$C$1,MATCH("Checker"&amp;ADDRESS(ROW(),COLUMN(),4),L!$A:$A,0)-1,SL,,)</f>
        <v xml:space="preserve">Geben Sie in der Reiterzelle D62 der Erklärung an, ob alle Informationen über Tantalum-Schmelzhütten zur Verfügung gestellt worden sind </v>
      </c>
    </row>
    <row r="50" spans="1:10" ht="39">
      <c r="A50" s="100" t="str">
        <f ca="1">Declaration!B69</f>
        <v>Zinn  (*)</v>
      </c>
      <c r="B50" s="99" t="str">
        <f>IF(AND($B$15="Yes",$B$20="Yes"),Declaration!D69,0)</f>
        <v>Yes</v>
      </c>
      <c r="C50" s="99" t="str">
        <f ca="1">IF(H50=1,J50,I50)</f>
        <v>Vollständig</v>
      </c>
      <c r="D50" s="315" t="str">
        <f>IF(H50=1,"Click here to answer question 8 for Tin","")</f>
        <v/>
      </c>
      <c r="E50" s="81" t="s">
        <v>807</v>
      </c>
      <c r="F50" s="104">
        <f>F25</f>
        <v>1</v>
      </c>
      <c r="G50" s="78">
        <f>IF(B50=0,1,0)</f>
        <v>0</v>
      </c>
      <c r="H50" s="79">
        <f>F50*G50</f>
        <v>0</v>
      </c>
      <c r="I50" s="170" t="str">
        <f ca="1">OFFSET(L!$C$1,MATCH("Checker"&amp;"Comp",L!$A:$A,0)-1,SL,,)</f>
        <v>Vollständig</v>
      </c>
      <c r="J50" s="22" t="str">
        <f ca="1">OFFSET(L!$C$1,MATCH("Checker"&amp;ADDRESS(ROW(),COLUMN(),4),L!$A:$A,0)-1,SL,,)</f>
        <v xml:space="preserve">Geben Sie in der Reiterzelle D63 der Erklärung an, ob alle Informationen über Zinn-Schmelzhütten zur Verfügung gestellt worden sind </v>
      </c>
    </row>
    <row r="51" spans="1:10" ht="39">
      <c r="A51" s="100" t="str">
        <f ca="1">Declaration!B70</f>
        <v>Gold  (*)</v>
      </c>
      <c r="B51" s="99" t="str">
        <f>IF(AND($B$16="Yes",$B$21="Yes"),Declaration!D70,0)</f>
        <v>Yes</v>
      </c>
      <c r="C51" s="99" t="str">
        <f ca="1">IF(H51=1,J51,I51)</f>
        <v>Vollständig</v>
      </c>
      <c r="D51" s="315" t="str">
        <f>IF(H51=1,"Click here to answer question 8 for Gold","")</f>
        <v/>
      </c>
      <c r="E51" s="81" t="s">
        <v>807</v>
      </c>
      <c r="F51" s="104">
        <f>F26</f>
        <v>1</v>
      </c>
      <c r="G51" s="78">
        <f>IF(B51=0,1,0)</f>
        <v>0</v>
      </c>
      <c r="H51" s="79">
        <f>F51*G51</f>
        <v>0</v>
      </c>
      <c r="I51" s="170" t="str">
        <f ca="1">OFFSET(L!$C$1,MATCH("Checker"&amp;"Comp",L!$A:$A,0)-1,SL,,)</f>
        <v>Vollständig</v>
      </c>
      <c r="J51" s="22" t="str">
        <f ca="1">OFFSET(L!$C$1,MATCH("Checker"&amp;ADDRESS(ROW(),COLUMN(),4),L!$A:$A,0)-1,SL,,)</f>
        <v>Geben Sie in der Reiterzelle D64 der Erklärung an, ob alle Informationen über Gold-Schmelzhütten zur Verfügung gestellt worden sind</v>
      </c>
    </row>
    <row r="52" spans="1:10" ht="39">
      <c r="A52" s="100" t="str">
        <f ca="1">Declaration!B71</f>
        <v xml:space="preserve">Wolfram  </v>
      </c>
      <c r="B52" s="99">
        <f>IF(AND($B$17="Yes",$B$22="Yes"),Declaration!D71,0)</f>
        <v>0</v>
      </c>
      <c r="C52" s="99" t="str">
        <f ca="1">IF(H52=1,J52,I52)</f>
        <v>Vollständig</v>
      </c>
      <c r="D52" s="315" t="str">
        <f>IF(H52=1,"Click here to answer question 8 for Tungsten","")</f>
        <v/>
      </c>
      <c r="E52" s="81" t="s">
        <v>807</v>
      </c>
      <c r="F52" s="104">
        <f>F27</f>
        <v>0</v>
      </c>
      <c r="G52" s="78">
        <f>IF(B52=0,1,0)</f>
        <v>1</v>
      </c>
      <c r="H52" s="79">
        <f>F52*G52</f>
        <v>0</v>
      </c>
      <c r="I52" s="170" t="str">
        <f ca="1">OFFSET(L!$C$1,MATCH("Checker"&amp;"Comp",L!$A:$A,0)-1,SL,,)</f>
        <v>Vollständig</v>
      </c>
      <c r="J52" s="22" t="str">
        <f ca="1">OFFSET(L!$C$1,MATCH("Checker"&amp;ADDRESS(ROW(),COLUMN(),4),L!$A:$A,0)-1,SL,,)</f>
        <v xml:space="preserve">Geben Sie in der Reiterzelle D65 der Erklärung an, ob alle Informationen über Tungsten-Schmelzhütten zur Verfügung gestellt worden sind </v>
      </c>
    </row>
    <row r="53" spans="1:10" ht="25.5">
      <c r="A53" s="99" t="str">
        <f ca="1">Declaration!B74</f>
        <v>Frage</v>
      </c>
      <c r="B53" s="102"/>
      <c r="C53" s="102"/>
      <c r="D53" s="106"/>
      <c r="E53" s="81" t="s">
        <v>441</v>
      </c>
      <c r="F53" s="103"/>
      <c r="G53" s="103"/>
      <c r="H53" s="103"/>
    </row>
    <row r="54" spans="1:10" ht="51">
      <c r="A54" s="99" t="str">
        <f ca="1">Declaration!B75</f>
        <v>A. Haben Sie eine konfliktfreie Beschaffungsrichtlinie für Mineralien erstellt? (*)</v>
      </c>
      <c r="B54" s="99" t="str">
        <f>Declaration!D75</f>
        <v>No</v>
      </c>
      <c r="C54" s="99" t="str">
        <f t="shared" ref="C54:C60" ca="1" si="10">IF(H54=1,J54,I54)</f>
        <v>Vollständig</v>
      </c>
      <c r="D54" s="105" t="str">
        <f>IF(H54=1,"Click here to answer question (A)","")</f>
        <v/>
      </c>
      <c r="E54" s="81" t="s">
        <v>1307</v>
      </c>
      <c r="F54" s="104">
        <f>IF(SUM(F$24:F$27)=0,0,1)</f>
        <v>1</v>
      </c>
      <c r="G54" s="78">
        <f>IF(B54=0,1,0)</f>
        <v>0</v>
      </c>
      <c r="H54" s="79">
        <f t="shared" ref="H54:H60" si="11">F54*G54</f>
        <v>0</v>
      </c>
      <c r="I54" s="170" t="str">
        <f ca="1">OFFSET(L!$C$1,MATCH("Checker"&amp;"Comp",L!$A:$A,0)-1,SL,,)</f>
        <v>Vollständig</v>
      </c>
      <c r="J54" s="22"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99" t="str">
        <f ca="1">Declaration!B77</f>
        <v>B. Ist Ihre konfliktfreie Beschaffungsrichtlinie für Mineralien auf Ihrer Website einsehbar? (Hinweis - Wenn „Ja“, sollte der Benutzer die URL im Anmerkungsfeld angeben.) (*)</v>
      </c>
      <c r="B55" s="99" t="str">
        <f>Declaration!D77</f>
        <v>No</v>
      </c>
      <c r="C55" s="99" t="str">
        <f t="shared" ca="1" si="10"/>
        <v>Vollständig</v>
      </c>
      <c r="D55" s="105" t="str">
        <f>IF(H55=1,"Click here to answer question (B)","")</f>
        <v/>
      </c>
      <c r="E55" s="81" t="s">
        <v>1307</v>
      </c>
      <c r="F55" s="104">
        <f t="shared" ref="F55" si="12">F$54</f>
        <v>1</v>
      </c>
      <c r="G55" s="78">
        <f>IF(B55=0,1,0)</f>
        <v>0</v>
      </c>
      <c r="H55" s="79">
        <f t="shared" si="11"/>
        <v>0</v>
      </c>
      <c r="I55" s="170" t="str">
        <f ca="1">OFFSET(L!$C$1,MATCH("Checker"&amp;"Comp",L!$A:$A,0)-1,SL,,)</f>
        <v>Vollständig</v>
      </c>
      <c r="J55" s="22"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99" t="s">
        <v>5</v>
      </c>
      <c r="B56" s="99">
        <f>Declaration!G77</f>
        <v>0</v>
      </c>
      <c r="C56" s="99" t="str">
        <f t="shared" ca="1" si="10"/>
        <v>Vollständig</v>
      </c>
      <c r="D56" s="105" t="str">
        <f>IF(H56=1,"Click here to specify URL for question (B)","")</f>
        <v/>
      </c>
      <c r="E56" s="81"/>
      <c r="F56" s="104">
        <f>IF(AND(F55=1,B55="Yes"),1,0)</f>
        <v>0</v>
      </c>
      <c r="G56" s="78">
        <f>IF(LEN(B56)&gt;1,0,1)</f>
        <v>1</v>
      </c>
      <c r="H56" s="79">
        <f t="shared" si="11"/>
        <v>0</v>
      </c>
      <c r="I56" s="170" t="str">
        <f ca="1">OFFSET(L!$C$1,MATCH("Checker"&amp;"Comp",L!$A:$A,0)-1,SL,,)</f>
        <v>Vollständig</v>
      </c>
      <c r="J56" s="162" t="str">
        <f ca="1">OFFSET(L!$C$1,MATCH("Checker"&amp;ADDRESS(ROW(),COLUMN(),4),L!$A:$A,0)-1,SL,,)</f>
        <v xml:space="preserve">Geben Sie in der Arbeitsblattzelle D77 der Erklärung den URL an, falls Sie Frage B mit „Ja“ beantworten. Das Format des URL sollte „www.companyname.com“ entsprechen </v>
      </c>
    </row>
    <row r="57" spans="1:10" ht="63.75">
      <c r="A57" s="99" t="str">
        <f ca="1">Declaration!B79</f>
        <v>C. Verlangen Sie von Ihren direkten Lieferanten, das 3TG-Mineral ausschließlich von Schmelzhütten zu beziehen, deren Sorgfaltspflichts-Praktiken von einer unabhängigen Instanz überprüft wurden? (*)</v>
      </c>
      <c r="B57" s="99" t="str">
        <f>Declaration!D79</f>
        <v>No</v>
      </c>
      <c r="C57" s="99" t="str">
        <f t="shared" ca="1" si="10"/>
        <v>Vollständig</v>
      </c>
      <c r="D57" s="105" t="str">
        <f>IF(H57=1,"Click here to answer question (C)","")</f>
        <v/>
      </c>
      <c r="E57" s="81" t="s">
        <v>1307</v>
      </c>
      <c r="F57" s="104">
        <f>F$54</f>
        <v>1</v>
      </c>
      <c r="G57" s="78">
        <f>IF(B57=0,1,0)</f>
        <v>0</v>
      </c>
      <c r="H57" s="79">
        <f t="shared" si="11"/>
        <v>0</v>
      </c>
      <c r="I57" s="170" t="str">
        <f ca="1">OFFSET(L!$C$1,MATCH("Checker"&amp;"Comp",L!$A:$A,0)-1,SL,,)</f>
        <v>Vollständig</v>
      </c>
      <c r="J57" s="22"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99" t="str">
        <f ca="1">Declaration!B81</f>
        <v>D. Haben Sie Sorgfaltspflichtmaßnahmen für die konfliktfreie Beschaffung in Kraft gesetzt? (*)</v>
      </c>
      <c r="B58" s="99" t="str">
        <f>Declaration!D81</f>
        <v>No</v>
      </c>
      <c r="C58" s="99" t="str">
        <f t="shared" ca="1" si="10"/>
        <v>Vollständig</v>
      </c>
      <c r="D58" s="105" t="str">
        <f>IF(H58=1,"Click here to answer question (D)","")</f>
        <v/>
      </c>
      <c r="E58" s="81" t="s">
        <v>1307</v>
      </c>
      <c r="F58" s="104">
        <f>F$54</f>
        <v>1</v>
      </c>
      <c r="G58" s="78">
        <f>IF(B58=0,1,0)</f>
        <v>0</v>
      </c>
      <c r="H58" s="79">
        <f t="shared" si="11"/>
        <v>0</v>
      </c>
      <c r="I58" s="170" t="str">
        <f ca="1">OFFSET(L!$C$1,MATCH("Checker"&amp;"Comp",L!$A:$A,0)-1,SL,,)</f>
        <v>Vollständig</v>
      </c>
      <c r="J58" s="22" t="str">
        <f ca="1">OFFSET(L!$C$1,MATCH("Checker"&amp;ADDRESS(ROW(),COLUMN(),4),L!$A:$A,0)-1,SL,,)</f>
        <v>Geben Sie in der Reiterzelle D81 der Erklärung an, ob Sie von Ihren Lieferanten Namen von Schmelzhütten verlangen</v>
      </c>
    </row>
    <row r="59" spans="1:10" ht="39">
      <c r="A59" s="99" t="str">
        <f ca="1">Declaration!B83</f>
        <v>E. Veranstaltet Ihr Unternehmen (eine) Konfliktmineralienumfrage(n) mit seinen entsprechenden Lieferanten? (*)</v>
      </c>
      <c r="B59" s="99" t="str">
        <f>Declaration!D83</f>
        <v>Yes, in conformance with IPC1755 (e.g., CMRT)</v>
      </c>
      <c r="C59" s="99" t="str">
        <f t="shared" ca="1" si="10"/>
        <v>Vollständig</v>
      </c>
      <c r="D59" s="105" t="str">
        <f>IF(H59=1,"Click here to answer question (E)","")</f>
        <v/>
      </c>
      <c r="E59" s="81" t="s">
        <v>1307</v>
      </c>
      <c r="F59" s="104">
        <f>F$54</f>
        <v>1</v>
      </c>
      <c r="G59" s="78">
        <f>IF(B59=0,1,0)</f>
        <v>0</v>
      </c>
      <c r="H59" s="79">
        <f t="shared" si="11"/>
        <v>0</v>
      </c>
      <c r="I59" s="170" t="str">
        <f ca="1">OFFSET(L!$C$1,MATCH("Checker"&amp;"Comp",L!$A:$A,0)-1,SL,,)</f>
        <v>Vollständig</v>
      </c>
      <c r="J59" s="22" t="str">
        <f ca="1">OFFSET(L!$C$1,MATCH("Checker"&amp;ADDRESS(ROW(),COLUMN(),4),L!$A:$A,0)-1,SL,,)</f>
        <v>Geben Sie in der Reiterzelle D83 der Erklärung an, ob Sie von Ihren Lieferanten verlangen, diese Vorlage zur Berichterstattung über Konfliktmineralien auszufüllen</v>
      </c>
    </row>
    <row r="60" spans="1:10" ht="51">
      <c r="A60" s="99" t="str">
        <f ca="1">Declaration!B85</f>
        <v>F. Überprüfen Sie die Sorgfaltspflichts-Informationen, die Sie von ihren Lieferanten erhalten, anhand der Erwartungen Ihres Unternehmens? (*)</v>
      </c>
      <c r="B60" s="99" t="str">
        <f>Declaration!D85</f>
        <v>Yes</v>
      </c>
      <c r="C60" s="99" t="str">
        <f t="shared" ca="1" si="10"/>
        <v>Vollständig</v>
      </c>
      <c r="D60" s="105" t="str">
        <f>IF(H60=1,"Click here to answer question (F)","")</f>
        <v/>
      </c>
      <c r="E60" s="81" t="s">
        <v>1307</v>
      </c>
      <c r="F60" s="104">
        <f>F$54</f>
        <v>1</v>
      </c>
      <c r="G60" s="78">
        <f>IF(B60=0,1,0)</f>
        <v>0</v>
      </c>
      <c r="H60" s="79">
        <f t="shared" si="11"/>
        <v>0</v>
      </c>
      <c r="I60" s="170" t="str">
        <f ca="1">OFFSET(L!$C$1,MATCH("Checker"&amp;"Comp",L!$A:$A,0)-1,SL,,)</f>
        <v>Vollständig</v>
      </c>
      <c r="J60" s="22" t="str">
        <f ca="1">OFFSET(L!$C$1,MATCH("Checker"&amp;ADDRESS(ROW(),COLUMN(),4),L!$A:$A,0)-1,SL,,)</f>
        <v>Geben Sie in der Reiterzelle D85 der Erklärung an, ob Sie Antworten der Lieferanten auf die Anforderungen Ihres Unternehmens überprüfen</v>
      </c>
    </row>
    <row r="61" spans="1:10" ht="15" hidden="1">
      <c r="A61" s="99"/>
      <c r="B61" s="99"/>
      <c r="C61" s="99"/>
      <c r="D61" s="105"/>
      <c r="E61" s="81"/>
      <c r="F61" s="104"/>
      <c r="G61" s="78"/>
      <c r="H61" s="79"/>
      <c r="I61" s="170"/>
    </row>
    <row r="62" spans="1:10" ht="39">
      <c r="A62" s="99" t="str">
        <f ca="1">Declaration!B87</f>
        <v>G. Sieht Ihr Review-Prozess ein Korrekturmaßnahmen-Management vor? (*)</v>
      </c>
      <c r="B62" s="99" t="str">
        <f>Declaration!D87</f>
        <v>Yes</v>
      </c>
      <c r="C62" s="99" t="str">
        <f t="shared" ref="C62:C68" ca="1" si="13">IF(H62=1,J62,I62)</f>
        <v>Vollständig</v>
      </c>
      <c r="D62" s="105" t="str">
        <f>IF(H62=1,"Click here to answer question (G)","")</f>
        <v/>
      </c>
      <c r="E62" s="81" t="s">
        <v>1307</v>
      </c>
      <c r="F62" s="104">
        <f>F$54</f>
        <v>1</v>
      </c>
      <c r="G62" s="78">
        <f>IF(B62=0,1,0)</f>
        <v>0</v>
      </c>
      <c r="H62" s="79">
        <f t="shared" ref="H62:H69" si="14">F62*G62</f>
        <v>0</v>
      </c>
      <c r="I62" s="170" t="str">
        <f ca="1">OFFSET(L!$C$1,MATCH("Checker"&amp;"Comp",L!$A:$A,0)-1,SL,,)</f>
        <v>Vollständig</v>
      </c>
      <c r="J62" s="22" t="str">
        <f ca="1">OFFSET(L!$C$1,MATCH("Checker"&amp;ADDRESS(ROW(),COLUMN(),4),L!$A:$A,0)-1,SL,,)</f>
        <v>Geben Sie in der Reiterzelle D87 der Erklärung an, ob Ihr Prüfungsverfahren ein Abhilfemaßnahmen-Management umfasst</v>
      </c>
    </row>
    <row r="63" spans="1:10" ht="39">
      <c r="A63" s="99" t="str">
        <f ca="1">Declaration!B89</f>
        <v>H. Ist Ihr Unternehmen zu einer jährlichen Offenlegung der Konfliktmineralien verpflichtet? (*)</v>
      </c>
      <c r="B63" s="99" t="str">
        <f>Declaration!D89</f>
        <v>No</v>
      </c>
      <c r="C63" s="99" t="str">
        <f t="shared" ca="1" si="13"/>
        <v>Vollständig</v>
      </c>
      <c r="D63" s="105" t="str">
        <f>IF(H63=1,"Click here to answer question (H)","")</f>
        <v/>
      </c>
      <c r="E63" s="81" t="s">
        <v>1307</v>
      </c>
      <c r="F63" s="104">
        <f>F$54</f>
        <v>1</v>
      </c>
      <c r="G63" s="78">
        <f>IF(B63=0,1,0)</f>
        <v>0</v>
      </c>
      <c r="H63" s="79">
        <f t="shared" si="14"/>
        <v>0</v>
      </c>
      <c r="I63" s="170" t="str">
        <f ca="1">OFFSET(L!$C$1,MATCH("Checker"&amp;"Comp",L!$A:$A,0)-1,SL,,)</f>
        <v>Vollständig</v>
      </c>
      <c r="J63" s="22" t="str">
        <f ca="1">OFFSET(L!$C$1,MATCH("Checker"&amp;ADDRESS(ROW(),COLUMN(),4),L!$A:$A,0)-1,SL,,)</f>
        <v>Geben Sie in Zelle D89 der Erklärung an, ob Sie der Offenlegungspflicht gegenüber der SEC, der EU-Regelung oder beiden unterliegen</v>
      </c>
    </row>
    <row r="64" spans="1:10" ht="39">
      <c r="A64" s="99" t="s">
        <v>1300</v>
      </c>
      <c r="B64" s="99" t="str">
        <f ca="1">IF(G64=1,"No products or item numbers listed","One or more product / item numbers have been provided")</f>
        <v>No products or item numbers listed</v>
      </c>
      <c r="C64" s="99" t="str">
        <f t="shared" ca="1" si="13"/>
        <v>Vollständig</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Vollständig</v>
      </c>
      <c r="J64" s="22"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99" t="s">
        <v>15262</v>
      </c>
      <c r="B65" s="99"/>
      <c r="C65" s="99" t="str">
        <f t="shared" ca="1" si="13"/>
        <v>Vollständig</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Vollständig</v>
      </c>
      <c r="J65" s="22" t="str">
        <f ca="1">OFFSET(L!$C$1,MATCH("Checker"&amp;ADDRESS(ROW(),COLUMN(),4),L!$A:$A,0)-1,SL,,)</f>
        <v xml:space="preserve">Geben Sie im Reiter „Smelter List“ eine Liste von Tantalum-Schmelzhütten ein, die Material für die Lieferkette beitragen </v>
      </c>
      <c r="K65" s="177">
        <f>IF(H14+H19&gt;0,1,0)</f>
        <v>0</v>
      </c>
      <c r="L65" s="22" t="e">
        <f ca="1">OFFSET(L!$C$1,MATCH("Checker"&amp;ADDRESS(ROW(),COLUMN(),4),L!$A:$A,0)-1,SL,,)</f>
        <v>#N/A</v>
      </c>
    </row>
    <row r="66" spans="1:12" ht="39">
      <c r="A66" s="99" t="s">
        <v>1865</v>
      </c>
      <c r="B66" s="99"/>
      <c r="C66" s="99" t="str">
        <f t="shared" ca="1" si="13"/>
        <v>Vollständig</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Vollständig</v>
      </c>
      <c r="J66" s="22" t="str">
        <f ca="1">OFFSET(L!$C$1,MATCH("Checker"&amp;ADDRESS(ROW(),COLUMN(),4),L!$A:$A,0)-1,SL,,)</f>
        <v xml:space="preserve">Geben Sie im Reiter „Smelter List“ eine Liste von Zinn-Schmelzhütten ein, die Material für die Lieferkette beitragen    </v>
      </c>
      <c r="K66" s="177">
        <f>IF(H15+H20&gt;0,1,0)</f>
        <v>0</v>
      </c>
      <c r="L66" s="22" t="e">
        <f ca="1">OFFSET(L!$C$1,MATCH("Checker"&amp;ADDRESS(ROW(),COLUMN(),4),L!$A:$A,0)-1,SL,,)</f>
        <v>#N/A</v>
      </c>
    </row>
    <row r="67" spans="1:12" ht="39">
      <c r="A67" s="99" t="s">
        <v>1866</v>
      </c>
      <c r="B67" s="99"/>
      <c r="C67" s="99" t="str">
        <f t="shared" ca="1" si="13"/>
        <v>Vollständig</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Vollständig</v>
      </c>
      <c r="J67" s="22" t="str">
        <f ca="1">OFFSET(L!$C$1,MATCH("Checker"&amp;ADDRESS(ROW(),COLUMN(),4),L!$A:$A,0)-1,SL,,)</f>
        <v xml:space="preserve">Geben Sie im Reiter „Smelter List“ eine Liste von Gold-Schmelzhütten ein, die Material für die Lieferkette beitragen  </v>
      </c>
      <c r="K67" s="177">
        <f>IF(H16+H21&gt;0,1,0)</f>
        <v>0</v>
      </c>
      <c r="L67" s="22" t="e">
        <f ca="1">OFFSET(L!$C$1,MATCH("Checker"&amp;ADDRESS(ROW(),COLUMN(),4),L!$A:$A,0)-1,SL,,)</f>
        <v>#N/A</v>
      </c>
    </row>
    <row r="68" spans="1:12" ht="39">
      <c r="A68" s="99" t="s">
        <v>1867</v>
      </c>
      <c r="B68" s="99"/>
      <c r="C68" s="99" t="str">
        <f t="shared" ca="1" si="13"/>
        <v>Vollständig</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Vollständig</v>
      </c>
      <c r="J68" s="22" t="str">
        <f ca="1">OFFSET(L!$C$1,MATCH("Checker"&amp;ADDRESS(ROW(),COLUMN(),4),L!$A:$A,0)-1,SL,,)</f>
        <v xml:space="preserve">Geben Sie im Reiter „Smelter List“ eine Liste von Tungsten-Schmelzhütten ein, die Material für die Lieferkette beitragen  </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Vollständig</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54" priority="358" stopIfTrue="1">
      <formula>$H$56=0</formula>
    </cfRule>
  </conditionalFormatting>
  <conditionalFormatting sqref="B66">
    <cfRule type="expression" dxfId="53" priority="39" stopIfTrue="1">
      <formula>IF(F66=0,TRUE)</formula>
    </cfRule>
  </conditionalFormatting>
  <conditionalFormatting sqref="B67">
    <cfRule type="expression" dxfId="52" priority="35" stopIfTrue="1">
      <formula>IF(F67=0,TRUE)</formula>
    </cfRule>
  </conditionalFormatting>
  <conditionalFormatting sqref="B68:B69">
    <cfRule type="expression" dxfId="51" priority="31" stopIfTrue="1">
      <formula>IF(F68=0,TRUE)</formula>
    </cfRule>
  </conditionalFormatting>
  <conditionalFormatting sqref="A29:A32">
    <cfRule type="expression" dxfId="50" priority="2" stopIfTrue="1">
      <formula>$F29=0</formula>
    </cfRule>
    <cfRule type="expression" dxfId="49" priority="3" stopIfTrue="1">
      <formula>$H29=0</formula>
    </cfRule>
    <cfRule type="expression" dxfId="48" priority="4" stopIfTrue="1">
      <formula>$H29=1</formula>
    </cfRule>
  </conditionalFormatting>
  <conditionalFormatting sqref="B65">
    <cfRule type="expression" dxfId="47" priority="1" stopIfTrue="1">
      <formula>IF(F65=0,TRUE)</formula>
    </cfRule>
  </conditionalFormatting>
  <conditionalFormatting sqref="A5:A13">
    <cfRule type="expression" dxfId="46" priority="49" stopIfTrue="1">
      <formula>$F5=0</formula>
    </cfRule>
    <cfRule type="expression" dxfId="45" priority="50" stopIfTrue="1">
      <formula>AND($F5=1,$G5=0)</formula>
    </cfRule>
    <cfRule type="expression" dxfId="44" priority="51" stopIfTrue="1">
      <formula>AND($F5&lt;&gt;0,$G5&lt;&gt;0)</formula>
    </cfRule>
  </conditionalFormatting>
  <conditionalFormatting sqref="A4:A69 C4:C69">
    <cfRule type="expression" dxfId="43" priority="347" stopIfTrue="1">
      <formula>$F4=0</formula>
    </cfRule>
    <cfRule type="expression" dxfId="42" priority="348" stopIfTrue="1">
      <formula>$H4=0</formula>
    </cfRule>
    <cfRule type="expression" dxfId="4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56" t="str">
        <f ca="1">OFFSET(L!$C$1,MATCH("Product List"&amp;ADDRESS(ROW(),COLUMN(),4),L!$A:$A,0)-1,SL,,)</f>
        <v>Abschluss nur erforderlich, wenn die Ebene "Produkt (oder eine Liste von Produkten)" auf der "Erklärung" Arbeitsblatt ausgewählt wurde-</v>
      </c>
      <c r="B1" s="457"/>
      <c r="C1" s="457"/>
      <c r="D1" s="457"/>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5" t="s">
        <v>898</v>
      </c>
      <c r="C4" s="455"/>
      <c r="D4" s="455"/>
      <c r="E4" s="30"/>
      <c r="F4"/>
    </row>
    <row r="5" spans="1:6" s="26" customFormat="1" ht="15.75">
      <c r="A5" s="153"/>
      <c r="B5" s="154" t="str">
        <f ca="1">OFFSET(L!$C$1,MATCH("Product List"&amp;ADDRESS(ROW(),COLUMN(),4),L!$A:$A,0)-1,SL,,)</f>
        <v>Produkt- oder Artikelnummer (*)</v>
      </c>
      <c r="C5" s="154" t="str">
        <f ca="1">OFFSET(L!$C$1,MATCH("Product List"&amp;ADDRESS(ROW(),COLUMN(),4),L!$A:$A,0)-1,SL,,)</f>
        <v>Produkt- oder Artikelbeschreibung</v>
      </c>
      <c r="D5" s="82" t="str">
        <f ca="1">OFFSET(L!$C$1,MATCH("Product List"&amp;ADDRESS(ROW(),COLUMN(),4),L!$A:$A,0)-1,SL,,)</f>
        <v>Kommentare</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58" t="str">
        <f ca="1">OFFSET(L!$C$1,MATCH("General"&amp;"Cpy",L!$A:$A,0)-1,SL,,)</f>
        <v>© 2022 Responsible Minerals Initiative. All rights reserved.</v>
      </c>
      <c r="C2006" s="458"/>
      <c r="D2006" s="458"/>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9"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0" customFormat="1" ht="51">
      <c r="A4" s="219" t="str">
        <f ca="1">OFFSET(L!$C$1,MATCH("Smelter Look-up"&amp;ADDRESS(ROW(),COLUMN(),4),L!$A:$A,0)-1,SL,,)</f>
        <v>Metall</v>
      </c>
      <c r="B4" s="219" t="str">
        <f ca="1">OFFSET(L!$C$1,MATCH("Smelter Look-up"&amp;ADDRESS(ROW(),COLUMN(),4),L!$A:$A,0)-1,SL,,)</f>
        <v>Schmelzhüttensuche (*)</v>
      </c>
      <c r="C4" s="219" t="str">
        <f ca="1">OFFSET(L!$C$1,MATCH("Smelter Look-up"&amp;ADDRESS(ROW(),COLUMN(),4),L!$A:$A,0)-1,SL,,)</f>
        <v>Standard Schmelzhütten Namen</v>
      </c>
      <c r="D4" s="219" t="str">
        <f ca="1">OFFSET(L!$C$1,MATCH("Smelter Look-up"&amp;ADDRESS(ROW(),COLUMN(),4),L!$A:$A,0)-1,SL,,)</f>
        <v>Schmelzhütte: Land</v>
      </c>
      <c r="E4" s="219" t="str">
        <f ca="1">OFFSET(L!$C$1,MATCH("Smelter Look-up"&amp;ADDRESS(ROW(),COLUMN(),4),L!$A:$A,0)-1,SL,,)</f>
        <v>Schmelzhütten-ID</v>
      </c>
      <c r="F4" s="219" t="str">
        <f ca="1">OFFSET(L!$C$1,MATCH("Smelter Look-up"&amp;ADDRESS(ROW(),COLUMN(),4),L!$A:$A,0)-1,SL,,)</f>
        <v>Quelle der Schmelzhütte Id-Nummer</v>
      </c>
      <c r="G4" s="219" t="str">
        <f ca="1">OFFSET(L!$C$1,MATCH("Smelter Look-up"&amp;ADDRESS(ROW(),COLUMN(),4),L!$A:$A,0)-1,SL,,)</f>
        <v>Schmelzhütten: Straße</v>
      </c>
      <c r="H4" s="219" t="str">
        <f ca="1">OFFSET(L!$C$1,MATCH("Smelter Look-up"&amp;ADDRESS(ROW(),COLUMN(),4),L!$A:$A,0)-1,SL,,)</f>
        <v>Schmelzhütten: Stadt</v>
      </c>
      <c r="I4" s="219" t="str">
        <f ca="1">OFFSET(L!$C$1,MATCH("Smelter Look-up"&amp;ADDRESS(ROW(),COLUMN(),4),L!$A:$A,0)-1,SL,,)</f>
        <v>Schmelzhütten: Bundesland/Provinz</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4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78.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6e8a5f3d-031c-4996-804e-0e28298fe1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Kozlova, Olga</cp:lastModifiedBy>
  <cp:lastPrinted>2015-04-21T20:47:43Z</cp:lastPrinted>
  <dcterms:created xsi:type="dcterms:W3CDTF">2010-06-21T21:00:23Z</dcterms:created>
  <dcterms:modified xsi:type="dcterms:W3CDTF">2022-07-01T12:00:12Z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